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drawings/drawing2.xml" ContentType="application/vnd.openxmlformats-officedocument.drawing+xml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8_{9D995445-5B4E-41E4-AB7F-E278DAED843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MP" sheetId="1" r:id="rId1"/>
    <sheet name="x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K26" i="2" l="1"/>
  <c r="H26" i="2"/>
  <c r="E26" i="2"/>
  <c r="B26" i="2"/>
  <c r="K13" i="2"/>
  <c r="H13" i="2"/>
  <c r="E13" i="2"/>
  <c r="B13" i="2"/>
  <c r="B48" i="2" l="1"/>
  <c r="B34" i="2"/>
  <c r="B33" i="2"/>
  <c r="B32" i="2"/>
  <c r="K14" i="2"/>
  <c r="H14" i="2"/>
  <c r="E14" i="2"/>
  <c r="B14" i="2"/>
  <c r="B6" i="2"/>
  <c r="E5" i="2"/>
  <c r="B5" i="2"/>
  <c r="B4" i="2"/>
  <c r="E2" i="2"/>
  <c r="E3" i="2" s="1"/>
  <c r="B35" i="2" l="1"/>
  <c r="B36" i="2" s="1"/>
  <c r="E4" i="2"/>
  <c r="F54" i="1"/>
  <c r="F53" i="1"/>
  <c r="F52" i="1"/>
  <c r="F51" i="1"/>
  <c r="B53" i="1"/>
  <c r="B48" i="1"/>
  <c r="B44" i="1"/>
  <c r="B43" i="1"/>
  <c r="B8" i="2" l="1"/>
  <c r="B10" i="2"/>
  <c r="B9" i="2"/>
  <c r="B7" i="2"/>
  <c r="H53" i="1"/>
  <c r="H52" i="1"/>
  <c r="B51" i="1"/>
  <c r="B52" i="1"/>
  <c r="B42" i="1"/>
  <c r="H51" i="1" s="1"/>
  <c r="B45" i="1"/>
  <c r="H54" i="1" s="1"/>
  <c r="B37" i="2" l="1"/>
  <c r="B38" i="2" s="1"/>
  <c r="K15" i="2"/>
  <c r="K16" i="2" s="1"/>
  <c r="H15" i="2"/>
  <c r="H16" i="2" s="1"/>
  <c r="E15" i="2"/>
  <c r="E16" i="2" s="1"/>
  <c r="B15" i="2"/>
  <c r="B16" i="2" s="1"/>
  <c r="B17" i="2" l="1"/>
  <c r="B18" i="2" s="1"/>
  <c r="E17" i="2"/>
  <c r="E18" i="2" s="1"/>
  <c r="K17" i="2"/>
  <c r="K18" i="2" s="1"/>
  <c r="B39" i="2"/>
  <c r="B40" i="2" s="1"/>
  <c r="H17" i="2"/>
  <c r="H18" i="2" s="1"/>
  <c r="E21" i="2" l="1"/>
  <c r="F21" i="2" s="1"/>
  <c r="E25" i="2"/>
  <c r="F25" i="2" s="1"/>
  <c r="E23" i="2"/>
  <c r="F23" i="2" s="1"/>
  <c r="E24" i="2"/>
  <c r="F24" i="2" s="1"/>
  <c r="E20" i="2"/>
  <c r="F20" i="2" s="1"/>
  <c r="E19" i="2"/>
  <c r="F19" i="2" s="1"/>
  <c r="H20" i="2"/>
  <c r="I20" i="2" s="1"/>
  <c r="H19" i="2"/>
  <c r="I19" i="2" s="1"/>
  <c r="H25" i="2"/>
  <c r="I25" i="2" s="1"/>
  <c r="H24" i="2"/>
  <c r="I24" i="2" s="1"/>
  <c r="H23" i="2"/>
  <c r="I23" i="2" s="1"/>
  <c r="H21" i="2"/>
  <c r="I21" i="2" s="1"/>
  <c r="B24" i="2"/>
  <c r="C24" i="2" s="1"/>
  <c r="B20" i="2"/>
  <c r="C20" i="2" s="1"/>
  <c r="B25" i="2"/>
  <c r="C25" i="2" s="1"/>
  <c r="B21" i="2"/>
  <c r="C21" i="2" s="1"/>
  <c r="B23" i="2"/>
  <c r="C23" i="2" s="1"/>
  <c r="B19" i="2"/>
  <c r="C19" i="2" s="1"/>
  <c r="B41" i="2"/>
  <c r="C41" i="2" s="1"/>
  <c r="B42" i="2"/>
  <c r="C42" i="2" s="1"/>
  <c r="B43" i="2"/>
  <c r="C43" i="2" s="1"/>
  <c r="B45" i="2"/>
  <c r="C45" i="2" s="1"/>
  <c r="B47" i="2"/>
  <c r="C47" i="2" s="1"/>
  <c r="B46" i="2"/>
  <c r="C46" i="2" s="1"/>
  <c r="K25" i="2"/>
  <c r="L25" i="2" s="1"/>
  <c r="K24" i="2"/>
  <c r="L24" i="2" s="1"/>
  <c r="K21" i="2"/>
  <c r="L21" i="2" s="1"/>
  <c r="K23" i="2"/>
  <c r="L23" i="2" s="1"/>
  <c r="K19" i="2"/>
  <c r="L19" i="2" s="1"/>
  <c r="K20" i="2"/>
  <c r="L20" i="2" s="1"/>
  <c r="H27" i="2" l="1"/>
  <c r="B22" i="2"/>
  <c r="B28" i="2" s="1"/>
  <c r="B29" i="2" s="1"/>
  <c r="B27" i="2"/>
  <c r="B17" i="1" s="1"/>
  <c r="E27" i="2"/>
  <c r="B32" i="1" s="1"/>
  <c r="B44" i="2"/>
  <c r="B50" i="2" s="1"/>
  <c r="B51" i="2" s="1"/>
  <c r="E33" i="2" s="1"/>
  <c r="E22" i="2"/>
  <c r="K22" i="2"/>
  <c r="B49" i="2"/>
  <c r="H22" i="2"/>
  <c r="K27" i="2"/>
  <c r="F32" i="1" s="1"/>
  <c r="B22" i="1" l="1"/>
  <c r="B23" i="1"/>
  <c r="B24" i="1"/>
  <c r="B16" i="1"/>
  <c r="E32" i="2"/>
  <c r="H28" i="2"/>
  <c r="H29" i="2" s="1"/>
  <c r="F23" i="1" s="1"/>
  <c r="F16" i="1"/>
  <c r="K28" i="2"/>
  <c r="K29" i="2" s="1"/>
  <c r="F38" i="1" s="1"/>
  <c r="F31" i="1"/>
  <c r="E28" i="2"/>
  <c r="E29" i="2" s="1"/>
  <c r="B38" i="1" s="1"/>
  <c r="B31" i="1"/>
  <c r="F37" i="1" l="1"/>
  <c r="F22" i="1"/>
  <c r="E34" i="2"/>
  <c r="F48" i="1" s="1"/>
  <c r="H48" i="1" s="1"/>
  <c r="B37" i="1"/>
  <c r="F17" i="1"/>
  <c r="F39" i="1" l="1"/>
  <c r="F24" i="1"/>
  <c r="F43" i="1" s="1"/>
  <c r="H43" i="1" s="1"/>
  <c r="B39" i="1"/>
  <c r="F45" i="1" s="1"/>
  <c r="H45" i="1" s="1"/>
  <c r="F42" i="1" l="1"/>
  <c r="H42" i="1" s="1"/>
  <c r="F44" i="1"/>
  <c r="H44" i="1" s="1"/>
  <c r="F1" i="2"/>
</calcChain>
</file>

<file path=xl/sharedStrings.xml><?xml version="1.0" encoding="utf-8"?>
<sst xmlns="http://schemas.openxmlformats.org/spreadsheetml/2006/main" count="145" uniqueCount="63">
  <si>
    <t>NW-Punkt</t>
  </si>
  <si>
    <t>E=</t>
  </si>
  <si>
    <t>m</t>
  </si>
  <si>
    <t>N=</t>
  </si>
  <si>
    <t>H=</t>
  </si>
  <si>
    <t>h=</t>
  </si>
  <si>
    <t>°</t>
  </si>
  <si>
    <t>SW-Punkt</t>
  </si>
  <si>
    <t>Parameter des GRS80:</t>
  </si>
  <si>
    <t>a=</t>
  </si>
  <si>
    <t>b=</t>
  </si>
  <si>
    <t>phi0=</t>
  </si>
  <si>
    <t>pi=</t>
  </si>
  <si>
    <t>rho=</t>
  </si>
  <si>
    <t>RHO=</t>
  </si>
  <si>
    <t>phi=</t>
  </si>
  <si>
    <t>e^2=</t>
  </si>
  <si>
    <t>a-b=</t>
  </si>
  <si>
    <t>e'^2=</t>
  </si>
  <si>
    <t>c=</t>
  </si>
  <si>
    <t>E0=</t>
  </si>
  <si>
    <t>F2=</t>
  </si>
  <si>
    <t>F4=</t>
  </si>
  <si>
    <t>F6=</t>
  </si>
  <si>
    <t>G0=</t>
  </si>
  <si>
    <t>eta^2</t>
  </si>
  <si>
    <t>K2=</t>
  </si>
  <si>
    <t>K4=</t>
  </si>
  <si>
    <t>K6=</t>
  </si>
  <si>
    <t>K1=</t>
  </si>
  <si>
    <t>K3=</t>
  </si>
  <si>
    <t>K5=</t>
  </si>
  <si>
    <t>lam=</t>
  </si>
  <si>
    <t>lam0=</t>
  </si>
  <si>
    <t>M=</t>
  </si>
  <si>
    <t>R=</t>
  </si>
  <si>
    <t>NE-Punkt</t>
  </si>
  <si>
    <t>SE-Punkt</t>
  </si>
  <si>
    <t>Projektausdehnung:</t>
  </si>
  <si>
    <t>cm/100m</t>
  </si>
  <si>
    <t>Projektmaßstäbe an den Randlinien:</t>
  </si>
  <si>
    <t>Projektfläche:</t>
  </si>
  <si>
    <t>Projektmaßstab im Schwerpunkt:</t>
  </si>
  <si>
    <t>km^2</t>
  </si>
  <si>
    <t>Schwerpunkt</t>
  </si>
  <si>
    <t>Equer</t>
  </si>
  <si>
    <t>Nquer</t>
  </si>
  <si>
    <t>hquer</t>
  </si>
  <si>
    <t>Schwerpunktkoordinaten:</t>
  </si>
  <si>
    <t>Projekt:</t>
  </si>
  <si>
    <r>
      <rPr>
        <i/>
        <sz val="11"/>
        <color theme="1"/>
        <rFont val="Times New Roman"/>
        <family val="1"/>
      </rPr>
      <t>B</t>
    </r>
    <r>
      <rPr>
        <i/>
        <sz val="11"/>
        <color theme="1"/>
        <rFont val="Calibri"/>
        <family val="2"/>
      </rPr>
      <t>=</t>
    </r>
  </si>
  <si>
    <t>L=</t>
  </si>
  <si>
    <t>http://sg.geodatenzentrum.de/web_bkg_webmap/applications/webatlasde/webatlasde.html</t>
  </si>
  <si>
    <t>http://gibs.bkg.bund.de/geoid/gscomp.php?p=g</t>
  </si>
  <si>
    <r>
      <rPr>
        <i/>
        <sz val="11"/>
        <color theme="1"/>
        <rFont val="Times New Roman"/>
        <family val="1"/>
      </rPr>
      <t>ζ</t>
    </r>
    <r>
      <rPr>
        <i/>
        <sz val="11"/>
        <color theme="1"/>
        <rFont val="Calibri"/>
        <family val="2"/>
      </rPr>
      <t>=</t>
    </r>
  </si>
  <si>
    <t>ζ=</t>
  </si>
  <si>
    <t>Exemplarisch Schwenningen (Heuberg)</t>
  </si>
  <si>
    <t>m NHN</t>
  </si>
  <si>
    <t>Gradienten der Quasigeoidhöhen an den Randlinien:</t>
  </si>
  <si>
    <t>Projektmaßstab aufgrund der Höhen- und UTM-Abbildungsreduktion</t>
  </si>
  <si>
    <t>V17-1</t>
  </si>
  <si>
    <r>
      <t xml:space="preserve">Die  Felder für </t>
    </r>
    <r>
      <rPr>
        <i/>
        <sz val="11"/>
        <color theme="1"/>
        <rFont val="Times New Roman"/>
        <family val="1"/>
      </rPr>
      <t>h</t>
    </r>
    <r>
      <rPr>
        <sz val="11"/>
        <color theme="1"/>
        <rFont val="Calibri"/>
        <family val="2"/>
        <scheme val="minor"/>
      </rPr>
      <t xml:space="preserve"> und </t>
    </r>
    <r>
      <rPr>
        <i/>
        <sz val="11"/>
        <color theme="1"/>
        <rFont val="Symbol"/>
        <family val="1"/>
        <charset val="2"/>
      </rPr>
      <t>z</t>
    </r>
    <r>
      <rPr>
        <sz val="11"/>
        <color theme="1"/>
        <rFont val="Calibri"/>
        <family val="2"/>
        <scheme val="minor"/>
      </rPr>
      <t xml:space="preserve"> ergeben sich mit Hilfe der BKG-Onlineberechnung und Eingabe von </t>
    </r>
    <r>
      <rPr>
        <i/>
        <sz val="11"/>
        <color theme="1"/>
        <rFont val="Times New Roman"/>
        <family val="1"/>
      </rPr>
      <t>B, L:</t>
    </r>
  </si>
  <si>
    <r>
      <t xml:space="preserve">Mit </t>
    </r>
    <r>
      <rPr>
        <i/>
        <sz val="11"/>
        <color theme="1"/>
        <rFont val="Times New Roman"/>
        <family val="1"/>
      </rPr>
      <t>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Times New Roman"/>
        <family val="1"/>
      </rPr>
      <t>N</t>
    </r>
    <r>
      <rPr>
        <sz val="11"/>
        <color theme="1"/>
        <rFont val="Calibri"/>
        <family val="2"/>
        <scheme val="minor"/>
      </rPr>
      <t xml:space="preserve"> und </t>
    </r>
    <r>
      <rPr>
        <i/>
        <sz val="11"/>
        <color theme="1"/>
        <rFont val="Times New Roman"/>
        <family val="1"/>
      </rPr>
      <t>H</t>
    </r>
    <r>
      <rPr>
        <sz val="11"/>
        <color theme="1"/>
        <rFont val="Calibri"/>
        <family val="2"/>
        <scheme val="minor"/>
      </rPr>
      <t xml:space="preserve"> sind die 4 Eckpunkte NW, NE, SE und SW des Projektgebiets vorzugeben: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</si>
</sst>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0"/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Symbol"/>
      <family val="1"/>
      <charset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/>
    <xf numFmtId="0" fontId="0" fillId="0" borderId="2" xfId="0" applyBorder="1"/>
    <xf numFmtId="0" fontId="0" fillId="0" borderId="0" xfId="0" applyBorder="1"/>
    <xf numFmtId="0" fontId="3" fillId="0" borderId="1" xfId="0" applyFont="1" applyBorder="1"/>
    <xf numFmtId="0" fontId="0" fillId="0" borderId="1" xfId="0" applyBorder="1"/>
    <xf numFmtId="165" fontId="0" fillId="0" borderId="0" xfId="0" applyNumberFormat="1" applyBorder="1"/>
    <xf numFmtId="0" fontId="0" fillId="0" borderId="3" xfId="0" applyBorder="1"/>
    <xf numFmtId="165" fontId="0" fillId="0" borderId="4" xfId="0" applyNumberFormat="1" applyBorder="1"/>
    <xf numFmtId="0" fontId="0" fillId="0" borderId="5" xfId="0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1" applyAlignment="1">
      <alignment vertical="center"/>
    </xf>
    <xf numFmtId="164" fontId="0" fillId="0" borderId="0" xfId="0" applyNumberFormat="1" applyBorder="1"/>
    <xf numFmtId="0" fontId="0" fillId="0" borderId="3" xfId="0" applyBorder="1" applyAlignment="1">
      <alignment horizontal="right"/>
    </xf>
    <xf numFmtId="164" fontId="0" fillId="0" borderId="4" xfId="0" applyNumberFormat="1" applyBorder="1"/>
    <xf numFmtId="0" fontId="0" fillId="0" borderId="0" xfId="0" applyFill="1" applyAlignment="1">
      <alignment horizontal="right"/>
    </xf>
    <xf numFmtId="2" fontId="0" fillId="0" borderId="0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166" fontId="0" fillId="0" borderId="4" xfId="0" applyNumberFormat="1" applyBorder="1"/>
    <xf numFmtId="166" fontId="0" fillId="0" borderId="0" xfId="0" applyNumberFormat="1" applyBorder="1"/>
    <xf numFmtId="2" fontId="0" fillId="0" borderId="0" xfId="0" applyNumberFormat="1" applyBorder="1" applyAlignment="1">
      <alignment horizontal="right" indent="2"/>
    </xf>
    <xf numFmtId="2" fontId="0" fillId="0" borderId="4" xfId="0" applyNumberFormat="1" applyBorder="1" applyAlignment="1">
      <alignment horizontal="right" indent="2"/>
    </xf>
    <xf numFmtId="0" fontId="0" fillId="0" borderId="0" xfId="0" applyBorder="1" applyProtection="1">
      <protection locked="0" hidden="1"/>
    </xf>
    <xf numFmtId="0" fontId="0" fillId="0" borderId="0" xfId="0" applyFill="1" applyBorder="1" applyProtection="1">
      <protection locked="0" hidden="1"/>
    </xf>
    <xf numFmtId="165" fontId="0" fillId="0" borderId="0" xfId="0" applyNumberFormat="1" applyFill="1" applyBorder="1" applyProtection="1">
      <protection locked="0" hidden="1"/>
    </xf>
    <xf numFmtId="0" fontId="0" fillId="0" borderId="0" xfId="0" applyFont="1" applyAlignment="1">
      <alignment vertical="center"/>
    </xf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right" vertical="top"/>
    </xf>
    <xf numFmtId="0" fontId="6" fillId="2" borderId="6" xfId="0" applyFont="1" applyFill="1" applyBorder="1"/>
    <xf numFmtId="0" fontId="0" fillId="2" borderId="7" xfId="0" applyFill="1" applyBorder="1" applyAlignment="1">
      <alignment horizontal="right"/>
    </xf>
    <xf numFmtId="164" fontId="0" fillId="2" borderId="0" xfId="0" applyNumberFormat="1" applyFill="1" applyBorder="1" applyProtection="1">
      <protection locked="0" hidden="1"/>
    </xf>
    <xf numFmtId="166" fontId="0" fillId="2" borderId="0" xfId="0" applyNumberFormat="1" applyFill="1" applyBorder="1" applyProtection="1">
      <protection locked="0" hidden="1"/>
    </xf>
    <xf numFmtId="0" fontId="0" fillId="4" borderId="7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7" xfId="0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165" fontId="10" fillId="0" borderId="0" xfId="0" applyNumberFormat="1" applyFont="1"/>
    <xf numFmtId="164" fontId="1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165" fontId="12" fillId="0" borderId="0" xfId="0" applyNumberFormat="1" applyFont="1" applyBorder="1"/>
    <xf numFmtId="166" fontId="10" fillId="0" borderId="0" xfId="0" applyNumberFormat="1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w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w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w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6.emf"/><Relationship Id="rId2" Type="http://schemas.openxmlformats.org/officeDocument/2006/relationships/image" Target="../media/image35.emf"/><Relationship Id="rId1" Type="http://schemas.openxmlformats.org/officeDocument/2006/relationships/image" Target="../media/image3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77935</xdr:colOff>
      <xdr:row>1</xdr:row>
      <xdr:rowOff>0</xdr:rowOff>
    </xdr:from>
    <xdr:to>
      <xdr:col>8</xdr:col>
      <xdr:colOff>580163</xdr:colOff>
      <xdr:row>5</xdr:row>
      <xdr:rowOff>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57208" y="60614"/>
          <a:ext cx="1515341" cy="822613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21</xdr:row>
          <xdr:rowOff>0</xdr:rowOff>
        </xdr:from>
        <xdr:to>
          <xdr:col>0</xdr:col>
          <xdr:colOff>390525</xdr:colOff>
          <xdr:row>22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22</xdr:row>
          <xdr:rowOff>0</xdr:rowOff>
        </xdr:from>
        <xdr:to>
          <xdr:col>0</xdr:col>
          <xdr:colOff>419100</xdr:colOff>
          <xdr:row>23</xdr:row>
          <xdr:rowOff>19050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390525</xdr:colOff>
          <xdr:row>24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36</xdr:row>
          <xdr:rowOff>0</xdr:rowOff>
        </xdr:from>
        <xdr:to>
          <xdr:col>0</xdr:col>
          <xdr:colOff>390525</xdr:colOff>
          <xdr:row>37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37</xdr:row>
          <xdr:rowOff>0</xdr:rowOff>
        </xdr:from>
        <xdr:to>
          <xdr:col>0</xdr:col>
          <xdr:colOff>419100</xdr:colOff>
          <xdr:row>38</xdr:row>
          <xdr:rowOff>19050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38</xdr:row>
          <xdr:rowOff>0</xdr:rowOff>
        </xdr:from>
        <xdr:to>
          <xdr:col>0</xdr:col>
          <xdr:colOff>390525</xdr:colOff>
          <xdr:row>39</xdr:row>
          <xdr:rowOff>19050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44</xdr:row>
          <xdr:rowOff>0</xdr:rowOff>
        </xdr:from>
        <xdr:to>
          <xdr:col>0</xdr:col>
          <xdr:colOff>342900</xdr:colOff>
          <xdr:row>45</xdr:row>
          <xdr:rowOff>19050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21</xdr:row>
          <xdr:rowOff>0</xdr:rowOff>
        </xdr:from>
        <xdr:to>
          <xdr:col>4</xdr:col>
          <xdr:colOff>390525</xdr:colOff>
          <xdr:row>22</xdr:row>
          <xdr:rowOff>19050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22</xdr:row>
          <xdr:rowOff>0</xdr:rowOff>
        </xdr:from>
        <xdr:to>
          <xdr:col>4</xdr:col>
          <xdr:colOff>419100</xdr:colOff>
          <xdr:row>23</xdr:row>
          <xdr:rowOff>19050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23</xdr:row>
          <xdr:rowOff>0</xdr:rowOff>
        </xdr:from>
        <xdr:to>
          <xdr:col>4</xdr:col>
          <xdr:colOff>390525</xdr:colOff>
          <xdr:row>24</xdr:row>
          <xdr:rowOff>19050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390525</xdr:colOff>
          <xdr:row>42</xdr:row>
          <xdr:rowOff>19050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42</xdr:row>
          <xdr:rowOff>0</xdr:rowOff>
        </xdr:from>
        <xdr:to>
          <xdr:col>0</xdr:col>
          <xdr:colOff>390525</xdr:colOff>
          <xdr:row>43</xdr:row>
          <xdr:rowOff>19050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36</xdr:row>
          <xdr:rowOff>0</xdr:rowOff>
        </xdr:from>
        <xdr:to>
          <xdr:col>4</xdr:col>
          <xdr:colOff>390525</xdr:colOff>
          <xdr:row>37</xdr:row>
          <xdr:rowOff>19050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37</xdr:row>
          <xdr:rowOff>0</xdr:rowOff>
        </xdr:from>
        <xdr:to>
          <xdr:col>4</xdr:col>
          <xdr:colOff>419100</xdr:colOff>
          <xdr:row>38</xdr:row>
          <xdr:rowOff>19050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38</xdr:row>
          <xdr:rowOff>0</xdr:rowOff>
        </xdr:from>
        <xdr:to>
          <xdr:col>4</xdr:col>
          <xdr:colOff>390525</xdr:colOff>
          <xdr:row>39</xdr:row>
          <xdr:rowOff>19050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390525</xdr:colOff>
          <xdr:row>42</xdr:row>
          <xdr:rowOff>19050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43</xdr:row>
          <xdr:rowOff>0</xdr:rowOff>
        </xdr:from>
        <xdr:to>
          <xdr:col>0</xdr:col>
          <xdr:colOff>390525</xdr:colOff>
          <xdr:row>44</xdr:row>
          <xdr:rowOff>19050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42</xdr:row>
          <xdr:rowOff>0</xdr:rowOff>
        </xdr:from>
        <xdr:to>
          <xdr:col>4</xdr:col>
          <xdr:colOff>390525</xdr:colOff>
          <xdr:row>43</xdr:row>
          <xdr:rowOff>19050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43</xdr:row>
          <xdr:rowOff>0</xdr:rowOff>
        </xdr:from>
        <xdr:to>
          <xdr:col>4</xdr:col>
          <xdr:colOff>390525</xdr:colOff>
          <xdr:row>44</xdr:row>
          <xdr:rowOff>19050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44</xdr:row>
          <xdr:rowOff>0</xdr:rowOff>
        </xdr:from>
        <xdr:to>
          <xdr:col>4</xdr:col>
          <xdr:colOff>390525</xdr:colOff>
          <xdr:row>45</xdr:row>
          <xdr:rowOff>19050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0</xdr:rowOff>
        </xdr:from>
        <xdr:to>
          <xdr:col>2</xdr:col>
          <xdr:colOff>333375</xdr:colOff>
          <xdr:row>3</xdr:row>
          <xdr:rowOff>0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0</xdr:rowOff>
        </xdr:from>
        <xdr:to>
          <xdr:col>6</xdr:col>
          <xdr:colOff>247650</xdr:colOff>
          <xdr:row>42</xdr:row>
          <xdr:rowOff>19050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0</xdr:rowOff>
        </xdr:from>
        <xdr:to>
          <xdr:col>6</xdr:col>
          <xdr:colOff>247650</xdr:colOff>
          <xdr:row>43</xdr:row>
          <xdr:rowOff>19050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6</xdr:col>
          <xdr:colOff>247650</xdr:colOff>
          <xdr:row>44</xdr:row>
          <xdr:rowOff>19050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6</xdr:col>
          <xdr:colOff>247650</xdr:colOff>
          <xdr:row>45</xdr:row>
          <xdr:rowOff>19050</xdr:rowOff>
        </xdr:to>
        <xdr:sp macro="" textlink="">
          <xdr:nvSpPr>
            <xdr:cNvPr id="1086" name="Object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47</xdr:row>
          <xdr:rowOff>0</xdr:rowOff>
        </xdr:from>
        <xdr:to>
          <xdr:col>0</xdr:col>
          <xdr:colOff>342900</xdr:colOff>
          <xdr:row>48</xdr:row>
          <xdr:rowOff>19050</xdr:rowOff>
        </xdr:to>
        <xdr:sp macro="" textlink="">
          <xdr:nvSpPr>
            <xdr:cNvPr id="1087" name="Object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0</xdr:rowOff>
        </xdr:from>
        <xdr:to>
          <xdr:col>6</xdr:col>
          <xdr:colOff>247650</xdr:colOff>
          <xdr:row>48</xdr:row>
          <xdr:rowOff>19050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47</xdr:row>
          <xdr:rowOff>0</xdr:rowOff>
        </xdr:from>
        <xdr:to>
          <xdr:col>4</xdr:col>
          <xdr:colOff>390525</xdr:colOff>
          <xdr:row>48</xdr:row>
          <xdr:rowOff>19050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50</xdr:row>
          <xdr:rowOff>0</xdr:rowOff>
        </xdr:from>
        <xdr:to>
          <xdr:col>0</xdr:col>
          <xdr:colOff>342900</xdr:colOff>
          <xdr:row>51</xdr:row>
          <xdr:rowOff>19050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51</xdr:row>
          <xdr:rowOff>0</xdr:rowOff>
        </xdr:from>
        <xdr:to>
          <xdr:col>0</xdr:col>
          <xdr:colOff>342900</xdr:colOff>
          <xdr:row>52</xdr:row>
          <xdr:rowOff>19050</xdr:rowOff>
        </xdr:to>
        <xdr:sp macro="" textlink="">
          <xdr:nvSpPr>
            <xdr:cNvPr id="1094" name="Object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52</xdr:row>
          <xdr:rowOff>0</xdr:rowOff>
        </xdr:from>
        <xdr:to>
          <xdr:col>0</xdr:col>
          <xdr:colOff>342900</xdr:colOff>
          <xdr:row>53</xdr:row>
          <xdr:rowOff>19050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6</xdr:col>
          <xdr:colOff>247650</xdr:colOff>
          <xdr:row>51</xdr:row>
          <xdr:rowOff>19050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50</xdr:row>
          <xdr:rowOff>0</xdr:rowOff>
        </xdr:from>
        <xdr:to>
          <xdr:col>4</xdr:col>
          <xdr:colOff>390525</xdr:colOff>
          <xdr:row>51</xdr:row>
          <xdr:rowOff>19050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</xdr:row>
          <xdr:rowOff>0</xdr:rowOff>
        </xdr:from>
        <xdr:to>
          <xdr:col>6</xdr:col>
          <xdr:colOff>247650</xdr:colOff>
          <xdr:row>52</xdr:row>
          <xdr:rowOff>19050</xdr:rowOff>
        </xdr:to>
        <xdr:sp macro="" textlink="">
          <xdr:nvSpPr>
            <xdr:cNvPr id="1102" name="Object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0</xdr:rowOff>
        </xdr:from>
        <xdr:to>
          <xdr:col>6</xdr:col>
          <xdr:colOff>247650</xdr:colOff>
          <xdr:row>53</xdr:row>
          <xdr:rowOff>19050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53</xdr:row>
          <xdr:rowOff>0</xdr:rowOff>
        </xdr:from>
        <xdr:to>
          <xdr:col>6</xdr:col>
          <xdr:colOff>247650</xdr:colOff>
          <xdr:row>54</xdr:row>
          <xdr:rowOff>19050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51</xdr:row>
          <xdr:rowOff>0</xdr:rowOff>
        </xdr:from>
        <xdr:to>
          <xdr:col>4</xdr:col>
          <xdr:colOff>390525</xdr:colOff>
          <xdr:row>52</xdr:row>
          <xdr:rowOff>19050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52</xdr:row>
          <xdr:rowOff>0</xdr:rowOff>
        </xdr:from>
        <xdr:to>
          <xdr:col>4</xdr:col>
          <xdr:colOff>390525</xdr:colOff>
          <xdr:row>53</xdr:row>
          <xdr:rowOff>19050</xdr:rowOff>
        </xdr:to>
        <xdr:sp macro="" textlink="">
          <xdr:nvSpPr>
            <xdr:cNvPr id="1107" name="Object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53</xdr:row>
          <xdr:rowOff>0</xdr:rowOff>
        </xdr:from>
        <xdr:to>
          <xdr:col>4</xdr:col>
          <xdr:colOff>390525</xdr:colOff>
          <xdr:row>54</xdr:row>
          <xdr:rowOff>19050</xdr:rowOff>
        </xdr:to>
        <xdr:sp macro="" textlink="">
          <xdr:nvSpPr>
            <xdr:cNvPr id="1109" name="Object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121227</xdr:colOff>
      <xdr:row>1</xdr:row>
      <xdr:rowOff>29044</xdr:rowOff>
    </xdr:from>
    <xdr:to>
      <xdr:col>8</xdr:col>
      <xdr:colOff>577976</xdr:colOff>
      <xdr:row>5</xdr:row>
      <xdr:rowOff>34636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0" y="89658"/>
          <a:ext cx="1565112" cy="828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31</xdr:row>
          <xdr:rowOff>0</xdr:rowOff>
        </xdr:from>
        <xdr:to>
          <xdr:col>3</xdr:col>
          <xdr:colOff>390525</xdr:colOff>
          <xdr:row>32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32</xdr:row>
          <xdr:rowOff>0</xdr:rowOff>
        </xdr:from>
        <xdr:to>
          <xdr:col>3</xdr:col>
          <xdr:colOff>390525</xdr:colOff>
          <xdr:row>33</xdr:row>
          <xdr:rowOff>19050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33</xdr:row>
          <xdr:rowOff>0</xdr:rowOff>
        </xdr:from>
        <xdr:to>
          <xdr:col>3</xdr:col>
          <xdr:colOff>390525</xdr:colOff>
          <xdr:row>34</xdr:row>
          <xdr:rowOff>19050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oleObject" Target="../embeddings/oleObject7.bin"/><Relationship Id="rId26" Type="http://schemas.openxmlformats.org/officeDocument/2006/relationships/oleObject" Target="../embeddings/oleObject11.bin"/><Relationship Id="rId39" Type="http://schemas.openxmlformats.org/officeDocument/2006/relationships/image" Target="../media/image17.emf"/><Relationship Id="rId21" Type="http://schemas.openxmlformats.org/officeDocument/2006/relationships/image" Target="../media/image8.emf"/><Relationship Id="rId34" Type="http://schemas.openxmlformats.org/officeDocument/2006/relationships/oleObject" Target="../embeddings/oleObject15.bin"/><Relationship Id="rId42" Type="http://schemas.openxmlformats.org/officeDocument/2006/relationships/oleObject" Target="../embeddings/oleObject19.bin"/><Relationship Id="rId47" Type="http://schemas.openxmlformats.org/officeDocument/2006/relationships/image" Target="../media/image21.emf"/><Relationship Id="rId50" Type="http://schemas.openxmlformats.org/officeDocument/2006/relationships/oleObject" Target="../embeddings/oleObject23.bin"/><Relationship Id="rId55" Type="http://schemas.openxmlformats.org/officeDocument/2006/relationships/oleObject" Target="../embeddings/oleObject27.bin"/><Relationship Id="rId63" Type="http://schemas.openxmlformats.org/officeDocument/2006/relationships/image" Target="../media/image27.emf"/><Relationship Id="rId68" Type="http://schemas.openxmlformats.org/officeDocument/2006/relationships/oleObject" Target="../embeddings/oleObject34.bin"/><Relationship Id="rId76" Type="http://schemas.openxmlformats.org/officeDocument/2006/relationships/image" Target="../media/image32.emf"/><Relationship Id="rId7" Type="http://schemas.openxmlformats.org/officeDocument/2006/relationships/image" Target="../media/image1.wmf"/><Relationship Id="rId71" Type="http://schemas.openxmlformats.org/officeDocument/2006/relationships/oleObject" Target="../embeddings/oleObject37.bin"/><Relationship Id="rId2" Type="http://schemas.openxmlformats.org/officeDocument/2006/relationships/hyperlink" Target="http://gibs.bkg.bund.de/geoid/gscomp.php?p=g" TargetMode="External"/><Relationship Id="rId16" Type="http://schemas.openxmlformats.org/officeDocument/2006/relationships/oleObject" Target="../embeddings/oleObject6.bin"/><Relationship Id="rId29" Type="http://schemas.openxmlformats.org/officeDocument/2006/relationships/image" Target="../media/image12.emf"/><Relationship Id="rId11" Type="http://schemas.openxmlformats.org/officeDocument/2006/relationships/image" Target="../media/image3.wmf"/><Relationship Id="rId24" Type="http://schemas.openxmlformats.org/officeDocument/2006/relationships/oleObject" Target="../embeddings/oleObject10.bin"/><Relationship Id="rId32" Type="http://schemas.openxmlformats.org/officeDocument/2006/relationships/oleObject" Target="../embeddings/oleObject14.bin"/><Relationship Id="rId37" Type="http://schemas.openxmlformats.org/officeDocument/2006/relationships/image" Target="../media/image16.emf"/><Relationship Id="rId40" Type="http://schemas.openxmlformats.org/officeDocument/2006/relationships/oleObject" Target="../embeddings/oleObject18.bin"/><Relationship Id="rId45" Type="http://schemas.openxmlformats.org/officeDocument/2006/relationships/image" Target="../media/image20.emf"/><Relationship Id="rId53" Type="http://schemas.openxmlformats.org/officeDocument/2006/relationships/oleObject" Target="../embeddings/oleObject26.bin"/><Relationship Id="rId58" Type="http://schemas.openxmlformats.org/officeDocument/2006/relationships/oleObject" Target="../embeddings/oleObject29.bin"/><Relationship Id="rId66" Type="http://schemas.openxmlformats.org/officeDocument/2006/relationships/oleObject" Target="../embeddings/oleObject33.bin"/><Relationship Id="rId74" Type="http://schemas.openxmlformats.org/officeDocument/2006/relationships/image" Target="../media/image31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28" Type="http://schemas.openxmlformats.org/officeDocument/2006/relationships/oleObject" Target="../embeddings/oleObject12.bin"/><Relationship Id="rId36" Type="http://schemas.openxmlformats.org/officeDocument/2006/relationships/oleObject" Target="../embeddings/oleObject16.bin"/><Relationship Id="rId49" Type="http://schemas.openxmlformats.org/officeDocument/2006/relationships/image" Target="../media/image22.wmf"/><Relationship Id="rId57" Type="http://schemas.openxmlformats.org/officeDocument/2006/relationships/image" Target="../media/image24.emf"/><Relationship Id="rId61" Type="http://schemas.openxmlformats.org/officeDocument/2006/relationships/image" Target="../media/image26.emf"/><Relationship Id="rId10" Type="http://schemas.openxmlformats.org/officeDocument/2006/relationships/oleObject" Target="../embeddings/oleObject3.bin"/><Relationship Id="rId19" Type="http://schemas.openxmlformats.org/officeDocument/2006/relationships/image" Target="../media/image7.emf"/><Relationship Id="rId31" Type="http://schemas.openxmlformats.org/officeDocument/2006/relationships/image" Target="../media/image13.emf"/><Relationship Id="rId44" Type="http://schemas.openxmlformats.org/officeDocument/2006/relationships/oleObject" Target="../embeddings/oleObject20.bin"/><Relationship Id="rId52" Type="http://schemas.openxmlformats.org/officeDocument/2006/relationships/oleObject" Target="../embeddings/oleObject25.bin"/><Relationship Id="rId60" Type="http://schemas.openxmlformats.org/officeDocument/2006/relationships/oleObject" Target="../embeddings/oleObject30.bin"/><Relationship Id="rId65" Type="http://schemas.openxmlformats.org/officeDocument/2006/relationships/image" Target="../media/image28.emf"/><Relationship Id="rId73" Type="http://schemas.openxmlformats.org/officeDocument/2006/relationships/oleObject" Target="../embeddings/oleObject38.bin"/><Relationship Id="rId4" Type="http://schemas.openxmlformats.org/officeDocument/2006/relationships/drawing" Target="../drawings/drawing1.xml"/><Relationship Id="rId9" Type="http://schemas.openxmlformats.org/officeDocument/2006/relationships/image" Target="../media/image2.wmf"/><Relationship Id="rId14" Type="http://schemas.openxmlformats.org/officeDocument/2006/relationships/oleObject" Target="../embeddings/oleObject5.bin"/><Relationship Id="rId22" Type="http://schemas.openxmlformats.org/officeDocument/2006/relationships/oleObject" Target="../embeddings/oleObject9.bin"/><Relationship Id="rId27" Type="http://schemas.openxmlformats.org/officeDocument/2006/relationships/image" Target="../media/image11.emf"/><Relationship Id="rId30" Type="http://schemas.openxmlformats.org/officeDocument/2006/relationships/oleObject" Target="../embeddings/oleObject13.bin"/><Relationship Id="rId35" Type="http://schemas.openxmlformats.org/officeDocument/2006/relationships/image" Target="../media/image15.emf"/><Relationship Id="rId43" Type="http://schemas.openxmlformats.org/officeDocument/2006/relationships/image" Target="../media/image19.emf"/><Relationship Id="rId48" Type="http://schemas.openxmlformats.org/officeDocument/2006/relationships/oleObject" Target="../embeddings/oleObject22.bin"/><Relationship Id="rId56" Type="http://schemas.openxmlformats.org/officeDocument/2006/relationships/oleObject" Target="../embeddings/oleObject28.bin"/><Relationship Id="rId64" Type="http://schemas.openxmlformats.org/officeDocument/2006/relationships/oleObject" Target="../embeddings/oleObject32.bin"/><Relationship Id="rId69" Type="http://schemas.openxmlformats.org/officeDocument/2006/relationships/oleObject" Target="../embeddings/oleObject35.bin"/><Relationship Id="rId8" Type="http://schemas.openxmlformats.org/officeDocument/2006/relationships/oleObject" Target="../embeddings/oleObject2.bin"/><Relationship Id="rId51" Type="http://schemas.openxmlformats.org/officeDocument/2006/relationships/oleObject" Target="../embeddings/oleObject24.bin"/><Relationship Id="rId72" Type="http://schemas.openxmlformats.org/officeDocument/2006/relationships/image" Target="../media/image30.emf"/><Relationship Id="rId3" Type="http://schemas.openxmlformats.org/officeDocument/2006/relationships/printerSettings" Target="../printerSettings/printerSettings1.bin"/><Relationship Id="rId12" Type="http://schemas.openxmlformats.org/officeDocument/2006/relationships/oleObject" Target="../embeddings/oleObject4.bin"/><Relationship Id="rId17" Type="http://schemas.openxmlformats.org/officeDocument/2006/relationships/image" Target="../media/image6.emf"/><Relationship Id="rId25" Type="http://schemas.openxmlformats.org/officeDocument/2006/relationships/image" Target="../media/image10.emf"/><Relationship Id="rId33" Type="http://schemas.openxmlformats.org/officeDocument/2006/relationships/image" Target="../media/image14.emf"/><Relationship Id="rId38" Type="http://schemas.openxmlformats.org/officeDocument/2006/relationships/oleObject" Target="../embeddings/oleObject17.bin"/><Relationship Id="rId46" Type="http://schemas.openxmlformats.org/officeDocument/2006/relationships/oleObject" Target="../embeddings/oleObject21.bin"/><Relationship Id="rId59" Type="http://schemas.openxmlformats.org/officeDocument/2006/relationships/image" Target="../media/image25.emf"/><Relationship Id="rId67" Type="http://schemas.openxmlformats.org/officeDocument/2006/relationships/image" Target="../media/image29.emf"/><Relationship Id="rId20" Type="http://schemas.openxmlformats.org/officeDocument/2006/relationships/oleObject" Target="../embeddings/oleObject8.bin"/><Relationship Id="rId41" Type="http://schemas.openxmlformats.org/officeDocument/2006/relationships/image" Target="../media/image18.emf"/><Relationship Id="rId54" Type="http://schemas.openxmlformats.org/officeDocument/2006/relationships/image" Target="../media/image23.emf"/><Relationship Id="rId62" Type="http://schemas.openxmlformats.org/officeDocument/2006/relationships/oleObject" Target="../embeddings/oleObject31.bin"/><Relationship Id="rId70" Type="http://schemas.openxmlformats.org/officeDocument/2006/relationships/oleObject" Target="../embeddings/oleObject36.bin"/><Relationship Id="rId75" Type="http://schemas.openxmlformats.org/officeDocument/2006/relationships/oleObject" Target="../embeddings/oleObject39.bin"/><Relationship Id="rId1" Type="http://schemas.openxmlformats.org/officeDocument/2006/relationships/hyperlink" Target="http://sg.geodatenzentrum.de/web_bkg_webmap/applications/webatlasde/webatlasde.html" TargetMode="External"/><Relationship Id="rId6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2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3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1.bin"/><Relationship Id="rId5" Type="http://schemas.openxmlformats.org/officeDocument/2006/relationships/image" Target="../media/image34.emf"/><Relationship Id="rId4" Type="http://schemas.openxmlformats.org/officeDocument/2006/relationships/oleObject" Target="../embeddings/oleObject40.bin"/><Relationship Id="rId9" Type="http://schemas.openxmlformats.org/officeDocument/2006/relationships/image" Target="../media/image3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"/>
  <sheetViews>
    <sheetView tabSelected="1" zoomScale="110" zoomScaleNormal="110" workbookViewId="0">
      <selection activeCell="K11" sqref="K11"/>
    </sheetView>
  </sheetViews>
  <sheetFormatPr baseColWidth="10" defaultColWidth="9.140625" defaultRowHeight="15" x14ac:dyDescent="0.25"/>
  <cols>
    <col min="1" max="1" width="7.7109375" customWidth="1"/>
    <col min="2" max="2" width="12.5703125" customWidth="1"/>
    <col min="3" max="3" width="6.5703125" customWidth="1"/>
    <col min="4" max="4" width="8.85546875" style="14" customWidth="1"/>
    <col min="5" max="5" width="9.42578125" customWidth="1"/>
    <col min="6" max="6" width="13" customWidth="1"/>
    <col min="7" max="7" width="7" customWidth="1"/>
    <col min="8" max="8" width="9.5703125" customWidth="1"/>
    <col min="9" max="9" width="9.28515625" customWidth="1"/>
    <col min="10" max="10" width="4.85546875" customWidth="1"/>
    <col min="11" max="11" width="12.28515625" customWidth="1"/>
    <col min="12" max="12" width="7.7109375" customWidth="1"/>
  </cols>
  <sheetData>
    <row r="1" spans="1:9" ht="5.0999999999999996" customHeight="1" x14ac:dyDescent="0.25"/>
    <row r="2" spans="1:9" s="2" customFormat="1" ht="20.100000000000001" customHeight="1" x14ac:dyDescent="0.25">
      <c r="A2" s="36" t="s">
        <v>59</v>
      </c>
      <c r="D2" s="12"/>
    </row>
    <row r="5" spans="1:9" x14ac:dyDescent="0.25">
      <c r="A5" t="s">
        <v>49</v>
      </c>
      <c r="B5" s="41" t="s">
        <v>56</v>
      </c>
      <c r="C5" s="27"/>
      <c r="D5" s="42"/>
      <c r="E5" s="27"/>
      <c r="F5" s="28"/>
      <c r="G5" s="37"/>
    </row>
    <row r="6" spans="1:9" s="1" customFormat="1" ht="20.100000000000001" customHeight="1" x14ac:dyDescent="0.25">
      <c r="A6" s="1" t="s">
        <v>62</v>
      </c>
      <c r="D6" s="13"/>
    </row>
    <row r="7" spans="1:9" s="1" customFormat="1" ht="20.100000000000001" customHeight="1" x14ac:dyDescent="0.25">
      <c r="A7" s="19" t="s">
        <v>52</v>
      </c>
      <c r="D7" s="13"/>
    </row>
    <row r="8" spans="1:9" s="1" customFormat="1" ht="20.100000000000001" customHeight="1" x14ac:dyDescent="0.25">
      <c r="A8" s="1" t="s">
        <v>61</v>
      </c>
      <c r="D8" s="13"/>
    </row>
    <row r="9" spans="1:9" s="1" customFormat="1" ht="20.100000000000001" customHeight="1" x14ac:dyDescent="0.25">
      <c r="A9" s="19" t="s">
        <v>53</v>
      </c>
      <c r="D9" s="13"/>
      <c r="I9" s="40" t="s">
        <v>60</v>
      </c>
    </row>
    <row r="10" spans="1:9" ht="5.0999999999999996" customHeight="1" x14ac:dyDescent="0.25"/>
    <row r="11" spans="1:9" x14ac:dyDescent="0.25">
      <c r="A11" s="46" t="s">
        <v>0</v>
      </c>
      <c r="B11" s="45"/>
      <c r="C11" s="47"/>
      <c r="E11" s="46" t="s">
        <v>36</v>
      </c>
      <c r="F11" s="45"/>
      <c r="G11" s="47"/>
    </row>
    <row r="12" spans="1:9" x14ac:dyDescent="0.25">
      <c r="A12" s="15" t="s">
        <v>1</v>
      </c>
      <c r="B12" s="43">
        <v>32500000</v>
      </c>
      <c r="C12" s="4" t="s">
        <v>2</v>
      </c>
      <c r="E12" s="15" t="s">
        <v>1</v>
      </c>
      <c r="F12" s="43">
        <v>32501000</v>
      </c>
      <c r="G12" s="4" t="s">
        <v>2</v>
      </c>
    </row>
    <row r="13" spans="1:9" x14ac:dyDescent="0.25">
      <c r="A13" s="15" t="s">
        <v>3</v>
      </c>
      <c r="B13" s="43">
        <v>5329000</v>
      </c>
      <c r="C13" s="4" t="s">
        <v>2</v>
      </c>
      <c r="E13" s="15" t="s">
        <v>3</v>
      </c>
      <c r="F13" s="43">
        <v>5329000</v>
      </c>
      <c r="G13" s="4" t="s">
        <v>2</v>
      </c>
    </row>
    <row r="14" spans="1:9" x14ac:dyDescent="0.25">
      <c r="A14" s="15" t="s">
        <v>4</v>
      </c>
      <c r="B14" s="43">
        <v>870</v>
      </c>
      <c r="C14" s="4" t="s">
        <v>57</v>
      </c>
      <c r="E14" s="15" t="s">
        <v>4</v>
      </c>
      <c r="F14" s="43">
        <v>870</v>
      </c>
      <c r="G14" s="4" t="s">
        <v>57</v>
      </c>
    </row>
    <row r="15" spans="1:9" ht="5.0999999999999996" customHeight="1" x14ac:dyDescent="0.25">
      <c r="A15" s="3"/>
      <c r="B15" s="33"/>
      <c r="C15" s="4"/>
      <c r="E15" s="3"/>
      <c r="F15" s="33"/>
      <c r="G15" s="4"/>
    </row>
    <row r="16" spans="1:9" x14ac:dyDescent="0.25">
      <c r="A16" s="6" t="s">
        <v>50</v>
      </c>
      <c r="B16" s="34">
        <f>x!B22</f>
        <v>48.114261124089815</v>
      </c>
      <c r="C16" s="4" t="s">
        <v>6</v>
      </c>
      <c r="E16" s="6" t="s">
        <v>50</v>
      </c>
      <c r="F16" s="35">
        <f>x!$H$22</f>
        <v>48.114260338772013</v>
      </c>
      <c r="G16" s="4" t="s">
        <v>6</v>
      </c>
    </row>
    <row r="17" spans="1:7" x14ac:dyDescent="0.25">
      <c r="A17" s="15" t="s">
        <v>51</v>
      </c>
      <c r="B17" s="35">
        <f>x!B27</f>
        <v>9</v>
      </c>
      <c r="C17" s="4" t="s">
        <v>6</v>
      </c>
      <c r="E17" s="15" t="s">
        <v>51</v>
      </c>
      <c r="F17" s="35">
        <f>x!$H$27</f>
        <v>9.0134353278049186</v>
      </c>
      <c r="G17" s="4" t="s">
        <v>6</v>
      </c>
    </row>
    <row r="18" spans="1:7" ht="5.0999999999999996" customHeight="1" x14ac:dyDescent="0.25">
      <c r="A18" s="3"/>
      <c r="B18" s="33"/>
      <c r="C18" s="4"/>
      <c r="E18" s="3"/>
      <c r="F18" s="33"/>
      <c r="G18" s="4"/>
    </row>
    <row r="19" spans="1:7" x14ac:dyDescent="0.25">
      <c r="A19" s="15" t="s">
        <v>5</v>
      </c>
      <c r="B19" s="44">
        <v>918.923</v>
      </c>
      <c r="C19" s="4" t="s">
        <v>2</v>
      </c>
      <c r="E19" s="15" t="s">
        <v>5</v>
      </c>
      <c r="F19" s="44">
        <v>918.89</v>
      </c>
      <c r="G19" s="4" t="s">
        <v>2</v>
      </c>
    </row>
    <row r="20" spans="1:7" x14ac:dyDescent="0.25">
      <c r="A20" s="15" t="s">
        <v>55</v>
      </c>
      <c r="B20" s="44">
        <v>48.923000000000002</v>
      </c>
      <c r="C20" s="4" t="s">
        <v>2</v>
      </c>
      <c r="E20" s="15" t="s">
        <v>55</v>
      </c>
      <c r="F20" s="44">
        <v>48.89</v>
      </c>
      <c r="G20" s="4" t="s">
        <v>2</v>
      </c>
    </row>
    <row r="21" spans="1:7" ht="5.0999999999999996" customHeight="1" x14ac:dyDescent="0.25">
      <c r="A21" s="7"/>
      <c r="B21" s="5"/>
      <c r="C21" s="4"/>
      <c r="E21" s="7"/>
      <c r="F21" s="5"/>
      <c r="G21" s="4"/>
    </row>
    <row r="22" spans="1:7" x14ac:dyDescent="0.25">
      <c r="A22" s="7"/>
      <c r="B22" s="8">
        <f>1-B19/x!B29</f>
        <v>0.99985597779538693</v>
      </c>
      <c r="C22" s="4"/>
      <c r="E22" s="7"/>
      <c r="F22" s="8">
        <f>1-$F$19/x!$H$29</f>
        <v>0.9998559829674456</v>
      </c>
      <c r="G22" s="4"/>
    </row>
    <row r="23" spans="1:7" x14ac:dyDescent="0.25">
      <c r="A23" s="7"/>
      <c r="B23" s="8">
        <f>0.9996*( 1+x!B14^2 / (2*0.9996^2*x!B29^2) )</f>
        <v>0.99960000000000004</v>
      </c>
      <c r="C23" s="4"/>
      <c r="E23" s="7"/>
      <c r="F23" s="8">
        <f>0.9996*( 1+x!$H$14^2 / (2*0.9996^2*x!$H$29^2) )</f>
        <v>0.99960001228695949</v>
      </c>
      <c r="G23" s="4"/>
    </row>
    <row r="24" spans="1:7" x14ac:dyDescent="0.25">
      <c r="A24" s="9"/>
      <c r="B24" s="10">
        <f>B22*B23</f>
        <v>0.99945603540426886</v>
      </c>
      <c r="C24" s="11"/>
      <c r="E24" s="9"/>
      <c r="F24" s="10">
        <f>$F$22*$F$23</f>
        <v>0.99945605285944861</v>
      </c>
      <c r="G24" s="11"/>
    </row>
    <row r="25" spans="1:7" ht="5.0999999999999996" customHeight="1" x14ac:dyDescent="0.25"/>
    <row r="26" spans="1:7" x14ac:dyDescent="0.25">
      <c r="A26" s="46" t="s">
        <v>7</v>
      </c>
      <c r="B26" s="45"/>
      <c r="C26" s="47"/>
      <c r="E26" s="46" t="s">
        <v>37</v>
      </c>
      <c r="F26" s="45"/>
      <c r="G26" s="47"/>
    </row>
    <row r="27" spans="1:7" x14ac:dyDescent="0.25">
      <c r="A27" s="15" t="s">
        <v>1</v>
      </c>
      <c r="B27" s="43">
        <v>32500000</v>
      </c>
      <c r="C27" s="4" t="s">
        <v>2</v>
      </c>
      <c r="E27" s="15" t="s">
        <v>1</v>
      </c>
      <c r="F27" s="43">
        <v>32501000</v>
      </c>
      <c r="G27" s="4" t="s">
        <v>2</v>
      </c>
    </row>
    <row r="28" spans="1:7" x14ac:dyDescent="0.25">
      <c r="A28" s="15" t="s">
        <v>3</v>
      </c>
      <c r="B28" s="43">
        <v>5328000</v>
      </c>
      <c r="C28" s="4" t="s">
        <v>2</v>
      </c>
      <c r="E28" s="15" t="s">
        <v>3</v>
      </c>
      <c r="F28" s="43">
        <v>5328000</v>
      </c>
      <c r="G28" s="4" t="s">
        <v>2</v>
      </c>
    </row>
    <row r="29" spans="1:7" x14ac:dyDescent="0.25">
      <c r="A29" s="15" t="s">
        <v>4</v>
      </c>
      <c r="B29" s="43">
        <v>870</v>
      </c>
      <c r="C29" s="4" t="s">
        <v>57</v>
      </c>
      <c r="E29" s="15" t="s">
        <v>4</v>
      </c>
      <c r="F29" s="43">
        <v>870</v>
      </c>
      <c r="G29" s="4" t="s">
        <v>57</v>
      </c>
    </row>
    <row r="30" spans="1:7" ht="5.0999999999999996" customHeight="1" x14ac:dyDescent="0.25">
      <c r="A30" s="3"/>
      <c r="B30" s="33"/>
      <c r="C30" s="4"/>
      <c r="E30" s="3"/>
      <c r="F30" s="33"/>
      <c r="G30" s="4"/>
    </row>
    <row r="31" spans="1:7" x14ac:dyDescent="0.25">
      <c r="A31" s="6" t="s">
        <v>50</v>
      </c>
      <c r="B31" s="35">
        <f>x!E22</f>
        <v>48.105264109501924</v>
      </c>
      <c r="C31" s="4" t="s">
        <v>6</v>
      </c>
      <c r="E31" s="6" t="s">
        <v>50</v>
      </c>
      <c r="F31" s="35">
        <f>x!$K$22</f>
        <v>48.105263324430531</v>
      </c>
      <c r="G31" s="4" t="s">
        <v>6</v>
      </c>
    </row>
    <row r="32" spans="1:7" x14ac:dyDescent="0.25">
      <c r="A32" s="15" t="s">
        <v>51</v>
      </c>
      <c r="B32" s="35">
        <f>x!E27</f>
        <v>9</v>
      </c>
      <c r="C32" s="4" t="s">
        <v>6</v>
      </c>
      <c r="E32" s="15" t="s">
        <v>51</v>
      </c>
      <c r="F32" s="35">
        <f>x!$K$27</f>
        <v>9.0134329829324464</v>
      </c>
      <c r="G32" s="4" t="s">
        <v>6</v>
      </c>
    </row>
    <row r="33" spans="1:9" ht="5.0999999999999996" customHeight="1" x14ac:dyDescent="0.25">
      <c r="A33" s="3"/>
      <c r="B33" s="33"/>
      <c r="C33" s="4"/>
      <c r="E33" s="3"/>
      <c r="F33" s="33"/>
      <c r="G33" s="4"/>
    </row>
    <row r="34" spans="1:9" x14ac:dyDescent="0.25">
      <c r="A34" s="15" t="s">
        <v>5</v>
      </c>
      <c r="B34" s="44">
        <v>918.899</v>
      </c>
      <c r="C34" s="4" t="s">
        <v>2</v>
      </c>
      <c r="E34" s="15" t="s">
        <v>5</v>
      </c>
      <c r="F34" s="44">
        <v>918.86500000000001</v>
      </c>
      <c r="G34" s="4" t="s">
        <v>2</v>
      </c>
    </row>
    <row r="35" spans="1:9" x14ac:dyDescent="0.25">
      <c r="A35" s="6" t="s">
        <v>54</v>
      </c>
      <c r="B35" s="44">
        <v>48.899000000000001</v>
      </c>
      <c r="C35" s="4" t="s">
        <v>2</v>
      </c>
      <c r="E35" s="15" t="s">
        <v>55</v>
      </c>
      <c r="F35" s="44">
        <v>48.865000000000002</v>
      </c>
      <c r="G35" s="4" t="s">
        <v>2</v>
      </c>
    </row>
    <row r="36" spans="1:9" ht="5.0999999999999996" customHeight="1" x14ac:dyDescent="0.25">
      <c r="A36" s="7"/>
      <c r="B36" s="5"/>
      <c r="C36" s="4"/>
      <c r="E36" s="7"/>
      <c r="F36" s="5"/>
      <c r="G36" s="4"/>
    </row>
    <row r="37" spans="1:9" x14ac:dyDescent="0.25">
      <c r="A37" s="7"/>
      <c r="B37" s="8">
        <f>1-B34/x!E29</f>
        <v>0.99985598140582943</v>
      </c>
      <c r="C37" s="4"/>
      <c r="E37" s="7"/>
      <c r="F37" s="8">
        <f>1-$F$34/x!$K$29</f>
        <v>0.99985598673462306</v>
      </c>
      <c r="G37" s="4"/>
    </row>
    <row r="38" spans="1:9" x14ac:dyDescent="0.25">
      <c r="A38" s="7"/>
      <c r="B38" s="8">
        <f>0.9996*( 1+x!E14^2 / (2*0.9996^2*x!E29^2) )</f>
        <v>0.99960000000000004</v>
      </c>
      <c r="C38" s="4"/>
      <c r="E38" s="7"/>
      <c r="F38" s="8">
        <f>0.9996*( 1+x!$K$14^2 / (2*0.9996^2*x!$K$29^2) )</f>
        <v>0.99960001228698525</v>
      </c>
      <c r="G38" s="4"/>
    </row>
    <row r="39" spans="1:9" x14ac:dyDescent="0.25">
      <c r="A39" s="9"/>
      <c r="B39" s="10">
        <f>B37*B38</f>
        <v>0.99945603901326718</v>
      </c>
      <c r="C39" s="11"/>
      <c r="E39" s="9"/>
      <c r="F39" s="10">
        <f>$F$37*$F$38</f>
        <v>0.99945605662514492</v>
      </c>
      <c r="G39" s="11"/>
    </row>
    <row r="40" spans="1:9" ht="15" customHeight="1" x14ac:dyDescent="0.25"/>
    <row r="41" spans="1:9" x14ac:dyDescent="0.25">
      <c r="A41" s="48" t="s">
        <v>38</v>
      </c>
      <c r="B41" s="45"/>
      <c r="C41" s="47"/>
      <c r="D41" s="23"/>
      <c r="E41" s="46" t="s">
        <v>40</v>
      </c>
      <c r="F41" s="45"/>
      <c r="G41" s="45"/>
      <c r="H41" s="45"/>
      <c r="I41" s="47"/>
    </row>
    <row r="42" spans="1:9" x14ac:dyDescent="0.25">
      <c r="A42" s="7"/>
      <c r="B42" s="20">
        <f>SQRT( (B12-F12)^2+(B13-F13)^2)</f>
        <v>1000</v>
      </c>
      <c r="C42" s="4" t="s">
        <v>2</v>
      </c>
      <c r="E42" s="7"/>
      <c r="F42" s="8">
        <f>(B24+F24)/2</f>
        <v>0.99945604413185873</v>
      </c>
      <c r="G42" s="5"/>
      <c r="H42" s="24">
        <f>(F42*100-100)*100</f>
        <v>-5.4395586814123931</v>
      </c>
      <c r="I42" s="4" t="s">
        <v>39</v>
      </c>
    </row>
    <row r="43" spans="1:9" x14ac:dyDescent="0.25">
      <c r="A43" s="7"/>
      <c r="B43" s="20">
        <f>SQRT( (F12-F27)^2+(F13-F28)^2)</f>
        <v>1000</v>
      </c>
      <c r="C43" s="4" t="s">
        <v>2</v>
      </c>
      <c r="E43" s="7"/>
      <c r="F43" s="8">
        <f>(F24+F39)/2</f>
        <v>0.99945605474229682</v>
      </c>
      <c r="G43" s="5"/>
      <c r="H43" s="24">
        <f>(F43*100-100)*100</f>
        <v>-5.4394525770320001</v>
      </c>
      <c r="I43" s="4" t="s">
        <v>39</v>
      </c>
    </row>
    <row r="44" spans="1:9" x14ac:dyDescent="0.25">
      <c r="A44" s="7"/>
      <c r="B44" s="20">
        <f>SQRT( (B27-F27)^2+(B28-F28)^2)</f>
        <v>1000</v>
      </c>
      <c r="C44" s="4" t="s">
        <v>2</v>
      </c>
      <c r="E44" s="7"/>
      <c r="F44" s="8">
        <f>(F39+B39)/2</f>
        <v>0.99945604781920605</v>
      </c>
      <c r="G44" s="5"/>
      <c r="H44" s="24">
        <f>(F44*100-100)*100</f>
        <v>-5.4395218079392293</v>
      </c>
      <c r="I44" s="4" t="s">
        <v>39</v>
      </c>
    </row>
    <row r="45" spans="1:9" x14ac:dyDescent="0.25">
      <c r="A45" s="21"/>
      <c r="B45" s="22">
        <f>SQRT( (B12-B27)^2+(B13-B28)^2)</f>
        <v>1000</v>
      </c>
      <c r="C45" s="11" t="s">
        <v>2</v>
      </c>
      <c r="E45" s="9"/>
      <c r="F45" s="10">
        <f>(B39+B24)/2</f>
        <v>0.99945603720876797</v>
      </c>
      <c r="G45" s="25"/>
      <c r="H45" s="26">
        <f>(F45*100-100)*100</f>
        <v>-5.4396279123210434</v>
      </c>
      <c r="I45" s="11" t="s">
        <v>39</v>
      </c>
    </row>
    <row r="46" spans="1:9" ht="12" customHeight="1" x14ac:dyDescent="0.25">
      <c r="H46" s="16"/>
    </row>
    <row r="47" spans="1:9" x14ac:dyDescent="0.25">
      <c r="A47" s="46" t="s">
        <v>41</v>
      </c>
      <c r="B47" s="45"/>
      <c r="C47" s="47"/>
      <c r="D47" s="23"/>
      <c r="E47" s="46" t="s">
        <v>42</v>
      </c>
      <c r="F47" s="45"/>
      <c r="G47" s="45"/>
      <c r="H47" s="49"/>
      <c r="I47" s="47"/>
    </row>
    <row r="48" spans="1:9" x14ac:dyDescent="0.25">
      <c r="A48" s="9"/>
      <c r="B48" s="22">
        <f xml:space="preserve"> (  ( (B28*B12-B13*B27)+(B13*F12-F13*B12)+(F13*F27-F28*F12)+(F28*B27-B28*F27) ) /2 ) / (1000*1000)</f>
        <v>1</v>
      </c>
      <c r="C48" s="11" t="s">
        <v>43</v>
      </c>
      <c r="E48" s="9"/>
      <c r="F48" s="10">
        <f>x!E34</f>
        <v>0.99945604290423384</v>
      </c>
      <c r="G48" s="25"/>
      <c r="H48" s="26">
        <f>(F48*100-100)*100</f>
        <v>-5.4395709576610329</v>
      </c>
      <c r="I48" s="11" t="s">
        <v>39</v>
      </c>
    </row>
    <row r="49" spans="1:17" ht="12" customHeight="1" x14ac:dyDescent="0.25"/>
    <row r="50" spans="1:17" x14ac:dyDescent="0.25">
      <c r="A50" s="46" t="s">
        <v>48</v>
      </c>
      <c r="B50" s="45"/>
      <c r="C50" s="47"/>
      <c r="D50" s="23"/>
      <c r="E50" s="46" t="s">
        <v>58</v>
      </c>
      <c r="F50" s="45"/>
      <c r="G50" s="45"/>
      <c r="H50" s="45"/>
      <c r="I50" s="47"/>
    </row>
    <row r="51" spans="1:17" x14ac:dyDescent="0.25">
      <c r="A51" s="7"/>
      <c r="B51" s="20">
        <f>x!B32</f>
        <v>32500500</v>
      </c>
      <c r="C51" s="4" t="s">
        <v>2</v>
      </c>
      <c r="E51" s="7"/>
      <c r="F51" s="30">
        <f>B20-F20</f>
        <v>3.3000000000001251E-2</v>
      </c>
      <c r="G51" s="38"/>
      <c r="H51" s="31">
        <f>(F51/B42)*10000</f>
        <v>0.33000000000001251</v>
      </c>
      <c r="I51" s="4" t="s">
        <v>39</v>
      </c>
    </row>
    <row r="52" spans="1:17" x14ac:dyDescent="0.25">
      <c r="A52" s="7"/>
      <c r="B52" s="20">
        <f>x!B33</f>
        <v>5328500</v>
      </c>
      <c r="C52" s="4" t="s">
        <v>2</v>
      </c>
      <c r="E52" s="7"/>
      <c r="F52" s="30">
        <f>F20-F35</f>
        <v>2.4999999999998579E-2</v>
      </c>
      <c r="G52" s="38"/>
      <c r="H52" s="31">
        <f>(F52/B43)*10000</f>
        <v>0.24999999999998579</v>
      </c>
      <c r="I52" s="4" t="s">
        <v>39</v>
      </c>
    </row>
    <row r="53" spans="1:17" x14ac:dyDescent="0.25">
      <c r="A53" s="9"/>
      <c r="B53" s="29">
        <f>x!B34</f>
        <v>918.89425000000006</v>
      </c>
      <c r="C53" s="11" t="s">
        <v>2</v>
      </c>
      <c r="E53" s="7"/>
      <c r="F53" s="30">
        <f>F35-B35</f>
        <v>-3.399999999999892E-2</v>
      </c>
      <c r="G53" s="38"/>
      <c r="H53" s="31">
        <f>(F53/B44)*10000</f>
        <v>-0.3399999999999892</v>
      </c>
      <c r="I53" s="4" t="s">
        <v>39</v>
      </c>
    </row>
    <row r="54" spans="1:17" x14ac:dyDescent="0.25">
      <c r="E54" s="9"/>
      <c r="F54" s="29">
        <f>B35-B20</f>
        <v>-2.4000000000000909E-2</v>
      </c>
      <c r="G54" s="39"/>
      <c r="H54" s="32">
        <f>(F54/B45)*10000</f>
        <v>-0.24000000000000909</v>
      </c>
      <c r="I54" s="11" t="s">
        <v>39</v>
      </c>
    </row>
    <row r="55" spans="1:17" x14ac:dyDescent="0.25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124" spans="1:17" x14ac:dyDescent="0.25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</row>
    <row r="125" spans="1:17" x14ac:dyDescent="0.25">
      <c r="A125" s="17"/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</row>
    <row r="126" spans="1:17" x14ac:dyDescent="0.25">
      <c r="A126" s="17"/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</row>
  </sheetData>
  <hyperlinks>
    <hyperlink ref="A7" r:id="rId1" xr:uid="{00000000-0004-0000-0000-000000000000}"/>
    <hyperlink ref="A9" r:id="rId2" xr:uid="{00000000-0004-0000-0000-000001000000}"/>
  </hyperlinks>
  <pageMargins left="0.7" right="0.7" top="0.75" bottom="0.75" header="0.3" footer="0.3"/>
  <pageSetup paperSize="9" orientation="portrait" r:id="rId3"/>
  <drawing r:id="rId4"/>
  <legacyDrawing r:id="rId5"/>
  <oleObjects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 siz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390525</xdr:colOff>
                <xdr:row>22</xdr:row>
                <xdr:rowOff>19050</xdr:rowOff>
              </to>
            </anchor>
          </objectPr>
        </oleObject>
      </mc:Choice>
      <mc:Fallback>
        <oleObject progId="Equation.DSMT4" shapeId="1026" r:id="rId6"/>
      </mc:Fallback>
    </mc:AlternateContent>
    <mc:AlternateContent xmlns:mc="http://schemas.openxmlformats.org/markup-compatibility/2006">
      <mc:Choice Requires="x14">
        <oleObject progId="Equation.DSMT4" shapeId="1027" r:id="rId8">
          <objectPr defaultSize="0" autoPict="0" r:id="rId9">
            <anchor moveWithCells="1" siz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419100</xdr:colOff>
                <xdr:row>23</xdr:row>
                <xdr:rowOff>19050</xdr:rowOff>
              </to>
            </anchor>
          </objectPr>
        </oleObject>
      </mc:Choice>
      <mc:Fallback>
        <oleObject progId="Equation.DSMT4" shapeId="1027" r:id="rId8"/>
      </mc:Fallback>
    </mc:AlternateContent>
    <mc:AlternateContent xmlns:mc="http://schemas.openxmlformats.org/markup-compatibility/2006">
      <mc:Choice Requires="x14">
        <oleObject progId="Equation.DSMT4" shapeId="1028" r:id="rId10">
          <objectPr defaultSize="0" autoPict="0" r:id="rId11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390525</xdr:colOff>
                <xdr:row>24</xdr:row>
                <xdr:rowOff>19050</xdr:rowOff>
              </to>
            </anchor>
          </objectPr>
        </oleObject>
      </mc:Choice>
      <mc:Fallback>
        <oleObject progId="Equation.DSMT4" shapeId="1028" r:id="rId10"/>
      </mc:Fallback>
    </mc:AlternateContent>
    <mc:AlternateContent xmlns:mc="http://schemas.openxmlformats.org/markup-compatibility/2006">
      <mc:Choice Requires="x14">
        <oleObject progId="Equation.DSMT4" shapeId="1032" r:id="rId12">
          <objectPr defaultSize="0" r:id="rId13">
            <anchor moveWithCells="1" siz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390525</xdr:colOff>
                <xdr:row>37</xdr:row>
                <xdr:rowOff>19050</xdr:rowOff>
              </to>
            </anchor>
          </objectPr>
        </oleObject>
      </mc:Choice>
      <mc:Fallback>
        <oleObject progId="Equation.DSMT4" shapeId="1032" r:id="rId12"/>
      </mc:Fallback>
    </mc:AlternateContent>
    <mc:AlternateContent xmlns:mc="http://schemas.openxmlformats.org/markup-compatibility/2006">
      <mc:Choice Requires="x14">
        <oleObject progId="Equation.DSMT4" shapeId="1033" r:id="rId14">
          <objectPr defaultSize="0" r:id="rId15">
            <anchor moveWithCells="1" siz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419100</xdr:colOff>
                <xdr:row>38</xdr:row>
                <xdr:rowOff>19050</xdr:rowOff>
              </to>
            </anchor>
          </objectPr>
        </oleObject>
      </mc:Choice>
      <mc:Fallback>
        <oleObject progId="Equation.DSMT4" shapeId="1033" r:id="rId14"/>
      </mc:Fallback>
    </mc:AlternateContent>
    <mc:AlternateContent xmlns:mc="http://schemas.openxmlformats.org/markup-compatibility/2006">
      <mc:Choice Requires="x14">
        <oleObject progId="Equation.DSMT4" shapeId="1034" r:id="rId16">
          <objectPr defaultSize="0" r:id="rId17">
            <anchor moveWithCells="1" siz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390525</xdr:colOff>
                <xdr:row>39</xdr:row>
                <xdr:rowOff>19050</xdr:rowOff>
              </to>
            </anchor>
          </objectPr>
        </oleObject>
      </mc:Choice>
      <mc:Fallback>
        <oleObject progId="Equation.DSMT4" shapeId="1034" r:id="rId16"/>
      </mc:Fallback>
    </mc:AlternateContent>
    <mc:AlternateContent xmlns:mc="http://schemas.openxmlformats.org/markup-compatibility/2006">
      <mc:Choice Requires="x14">
        <oleObject progId="Equation.DSMT4" shapeId="1036" r:id="rId18">
          <objectPr defaultSize="0" autoPict="0" r:id="rId19">
            <anchor moveWithCells="1" sizeWithCells="1">
              <from>
                <xdr:col>0</xdr:col>
                <xdr:colOff>19050</xdr:colOff>
                <xdr:row>44</xdr:row>
                <xdr:rowOff>0</xdr:rowOff>
              </from>
              <to>
                <xdr:col>0</xdr:col>
                <xdr:colOff>342900</xdr:colOff>
                <xdr:row>45</xdr:row>
                <xdr:rowOff>19050</xdr:rowOff>
              </to>
            </anchor>
          </objectPr>
        </oleObject>
      </mc:Choice>
      <mc:Fallback>
        <oleObject progId="Equation.DSMT4" shapeId="1036" r:id="rId18"/>
      </mc:Fallback>
    </mc:AlternateContent>
    <mc:AlternateContent xmlns:mc="http://schemas.openxmlformats.org/markup-compatibility/2006">
      <mc:Choice Requires="x14">
        <oleObject progId="Equation.DSMT4" shapeId="1048" r:id="rId20">
          <objectPr defaultSize="0" r:id="rId21">
            <anchor moveWithCells="1" sizeWithCells="1">
              <from>
                <xdr:col>4</xdr:col>
                <xdr:colOff>0</xdr:colOff>
                <xdr:row>21</xdr:row>
                <xdr:rowOff>0</xdr:rowOff>
              </from>
              <to>
                <xdr:col>4</xdr:col>
                <xdr:colOff>390525</xdr:colOff>
                <xdr:row>22</xdr:row>
                <xdr:rowOff>19050</xdr:rowOff>
              </to>
            </anchor>
          </objectPr>
        </oleObject>
      </mc:Choice>
      <mc:Fallback>
        <oleObject progId="Equation.DSMT4" shapeId="1048" r:id="rId20"/>
      </mc:Fallback>
    </mc:AlternateContent>
    <mc:AlternateContent xmlns:mc="http://schemas.openxmlformats.org/markup-compatibility/2006">
      <mc:Choice Requires="x14">
        <oleObject progId="Equation.DSMT4" shapeId="1049" r:id="rId22">
          <objectPr defaultSize="0" r:id="rId23">
            <anchor moveWithCells="1" sizeWithCells="1">
              <from>
                <xdr:col>4</xdr:col>
                <xdr:colOff>0</xdr:colOff>
                <xdr:row>22</xdr:row>
                <xdr:rowOff>0</xdr:rowOff>
              </from>
              <to>
                <xdr:col>4</xdr:col>
                <xdr:colOff>419100</xdr:colOff>
                <xdr:row>23</xdr:row>
                <xdr:rowOff>19050</xdr:rowOff>
              </to>
            </anchor>
          </objectPr>
        </oleObject>
      </mc:Choice>
      <mc:Fallback>
        <oleObject progId="Equation.DSMT4" shapeId="1049" r:id="rId22"/>
      </mc:Fallback>
    </mc:AlternateContent>
    <mc:AlternateContent xmlns:mc="http://schemas.openxmlformats.org/markup-compatibility/2006">
      <mc:Choice Requires="x14">
        <oleObject progId="Equation.DSMT4" shapeId="1050" r:id="rId24">
          <objectPr defaultSize="0" r:id="rId25">
            <anchor moveWithCells="1" sizeWithCells="1">
              <from>
                <xdr:col>4</xdr:col>
                <xdr:colOff>0</xdr:colOff>
                <xdr:row>23</xdr:row>
                <xdr:rowOff>0</xdr:rowOff>
              </from>
              <to>
                <xdr:col>4</xdr:col>
                <xdr:colOff>390525</xdr:colOff>
                <xdr:row>24</xdr:row>
                <xdr:rowOff>19050</xdr:rowOff>
              </to>
            </anchor>
          </objectPr>
        </oleObject>
      </mc:Choice>
      <mc:Fallback>
        <oleObject progId="Equation.DSMT4" shapeId="1050" r:id="rId24"/>
      </mc:Fallback>
    </mc:AlternateContent>
    <mc:AlternateContent xmlns:mc="http://schemas.openxmlformats.org/markup-compatibility/2006">
      <mc:Choice Requires="x14">
        <oleObject progId="Equation.DSMT4" shapeId="1057" r:id="rId26">
          <objectPr defaultSize="0" autoPict="0" r:id="rId27">
            <anchor moveWithCells="1" sizeWithCells="1">
              <from>
                <xdr:col>0</xdr:col>
                <xdr:colOff>0</xdr:colOff>
                <xdr:row>41</xdr:row>
                <xdr:rowOff>0</xdr:rowOff>
              </from>
              <to>
                <xdr:col>0</xdr:col>
                <xdr:colOff>390525</xdr:colOff>
                <xdr:row>42</xdr:row>
                <xdr:rowOff>19050</xdr:rowOff>
              </to>
            </anchor>
          </objectPr>
        </oleObject>
      </mc:Choice>
      <mc:Fallback>
        <oleObject progId="Equation.DSMT4" shapeId="1057" r:id="rId26"/>
      </mc:Fallback>
    </mc:AlternateContent>
    <mc:AlternateContent xmlns:mc="http://schemas.openxmlformats.org/markup-compatibility/2006">
      <mc:Choice Requires="x14">
        <oleObject progId="Equation.DSMT4" shapeId="1065" r:id="rId28">
          <objectPr defaultSize="0" autoPict="0" r:id="rId29">
            <anchor moveWithCells="1" siz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390525</xdr:colOff>
                <xdr:row>43</xdr:row>
                <xdr:rowOff>19050</xdr:rowOff>
              </to>
            </anchor>
          </objectPr>
        </oleObject>
      </mc:Choice>
      <mc:Fallback>
        <oleObject progId="Equation.DSMT4" shapeId="1065" r:id="rId28"/>
      </mc:Fallback>
    </mc:AlternateContent>
    <mc:AlternateContent xmlns:mc="http://schemas.openxmlformats.org/markup-compatibility/2006">
      <mc:Choice Requires="x14">
        <oleObject progId="Equation.DSMT4" shapeId="1068" r:id="rId30">
          <objectPr defaultSize="0" autoPict="0" r:id="rId31">
            <anchor moveWithCells="1" sizeWithCells="1">
              <from>
                <xdr:col>4</xdr:col>
                <xdr:colOff>0</xdr:colOff>
                <xdr:row>36</xdr:row>
                <xdr:rowOff>0</xdr:rowOff>
              </from>
              <to>
                <xdr:col>4</xdr:col>
                <xdr:colOff>390525</xdr:colOff>
                <xdr:row>37</xdr:row>
                <xdr:rowOff>19050</xdr:rowOff>
              </to>
            </anchor>
          </objectPr>
        </oleObject>
      </mc:Choice>
      <mc:Fallback>
        <oleObject progId="Equation.DSMT4" shapeId="1068" r:id="rId30"/>
      </mc:Fallback>
    </mc:AlternateContent>
    <mc:AlternateContent xmlns:mc="http://schemas.openxmlformats.org/markup-compatibility/2006">
      <mc:Choice Requires="x14">
        <oleObject progId="Equation.DSMT4" shapeId="1069" r:id="rId32">
          <objectPr defaultSize="0" r:id="rId33">
            <anchor moveWithCells="1" sizeWithCells="1">
              <from>
                <xdr:col>4</xdr:col>
                <xdr:colOff>0</xdr:colOff>
                <xdr:row>37</xdr:row>
                <xdr:rowOff>0</xdr:rowOff>
              </from>
              <to>
                <xdr:col>4</xdr:col>
                <xdr:colOff>419100</xdr:colOff>
                <xdr:row>38</xdr:row>
                <xdr:rowOff>19050</xdr:rowOff>
              </to>
            </anchor>
          </objectPr>
        </oleObject>
      </mc:Choice>
      <mc:Fallback>
        <oleObject progId="Equation.DSMT4" shapeId="1069" r:id="rId32"/>
      </mc:Fallback>
    </mc:AlternateContent>
    <mc:AlternateContent xmlns:mc="http://schemas.openxmlformats.org/markup-compatibility/2006">
      <mc:Choice Requires="x14">
        <oleObject progId="Equation.DSMT4" shapeId="1070" r:id="rId34">
          <objectPr defaultSize="0" autoPict="0" r:id="rId35">
            <anchor moveWithCells="1" sizeWithCells="1">
              <from>
                <xdr:col>4</xdr:col>
                <xdr:colOff>0</xdr:colOff>
                <xdr:row>38</xdr:row>
                <xdr:rowOff>0</xdr:rowOff>
              </from>
              <to>
                <xdr:col>4</xdr:col>
                <xdr:colOff>390525</xdr:colOff>
                <xdr:row>39</xdr:row>
                <xdr:rowOff>19050</xdr:rowOff>
              </to>
            </anchor>
          </objectPr>
        </oleObject>
      </mc:Choice>
      <mc:Fallback>
        <oleObject progId="Equation.DSMT4" shapeId="1070" r:id="rId34"/>
      </mc:Fallback>
    </mc:AlternateContent>
    <mc:AlternateContent xmlns:mc="http://schemas.openxmlformats.org/markup-compatibility/2006">
      <mc:Choice Requires="x14">
        <oleObject progId="Equation.DSMT4" shapeId="1072" r:id="rId36">
          <objectPr defaultSize="0" autoPict="0" r:id="rId37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390525</xdr:colOff>
                <xdr:row>42</xdr:row>
                <xdr:rowOff>19050</xdr:rowOff>
              </to>
            </anchor>
          </objectPr>
        </oleObject>
      </mc:Choice>
      <mc:Fallback>
        <oleObject progId="Equation.DSMT4" shapeId="1072" r:id="rId36"/>
      </mc:Fallback>
    </mc:AlternateContent>
    <mc:AlternateContent xmlns:mc="http://schemas.openxmlformats.org/markup-compatibility/2006">
      <mc:Choice Requires="x14">
        <oleObject progId="Equation.DSMT4" shapeId="1077" r:id="rId38">
          <objectPr defaultSize="0" autoPict="0" r:id="rId39">
            <anchor moveWithCells="1" sizeWithCells="1">
              <from>
                <xdr:col>0</xdr:col>
                <xdr:colOff>0</xdr:colOff>
                <xdr:row>43</xdr:row>
                <xdr:rowOff>0</xdr:rowOff>
              </from>
              <to>
                <xdr:col>0</xdr:col>
                <xdr:colOff>390525</xdr:colOff>
                <xdr:row>44</xdr:row>
                <xdr:rowOff>19050</xdr:rowOff>
              </to>
            </anchor>
          </objectPr>
        </oleObject>
      </mc:Choice>
      <mc:Fallback>
        <oleObject progId="Equation.DSMT4" shapeId="1077" r:id="rId38"/>
      </mc:Fallback>
    </mc:AlternateContent>
    <mc:AlternateContent xmlns:mc="http://schemas.openxmlformats.org/markup-compatibility/2006">
      <mc:Choice Requires="x14">
        <oleObject progId="Equation.DSMT4" shapeId="1078" r:id="rId40">
          <objectPr defaultSize="0" autoPict="0" r:id="rId41">
            <anchor moveWithCells="1" sizeWithCells="1">
              <from>
                <xdr:col>4</xdr:col>
                <xdr:colOff>0</xdr:colOff>
                <xdr:row>42</xdr:row>
                <xdr:rowOff>0</xdr:rowOff>
              </from>
              <to>
                <xdr:col>4</xdr:col>
                <xdr:colOff>390525</xdr:colOff>
                <xdr:row>43</xdr:row>
                <xdr:rowOff>19050</xdr:rowOff>
              </to>
            </anchor>
          </objectPr>
        </oleObject>
      </mc:Choice>
      <mc:Fallback>
        <oleObject progId="Equation.DSMT4" shapeId="1078" r:id="rId40"/>
      </mc:Fallback>
    </mc:AlternateContent>
    <mc:AlternateContent xmlns:mc="http://schemas.openxmlformats.org/markup-compatibility/2006">
      <mc:Choice Requires="x14">
        <oleObject progId="Equation.DSMT4" shapeId="1079" r:id="rId42">
          <objectPr defaultSize="0" autoPict="0" r:id="rId43">
            <anchor moveWithCells="1" sizeWithCells="1">
              <from>
                <xdr:col>4</xdr:col>
                <xdr:colOff>0</xdr:colOff>
                <xdr:row>43</xdr:row>
                <xdr:rowOff>0</xdr:rowOff>
              </from>
              <to>
                <xdr:col>4</xdr:col>
                <xdr:colOff>390525</xdr:colOff>
                <xdr:row>44</xdr:row>
                <xdr:rowOff>19050</xdr:rowOff>
              </to>
            </anchor>
          </objectPr>
        </oleObject>
      </mc:Choice>
      <mc:Fallback>
        <oleObject progId="Equation.DSMT4" shapeId="1079" r:id="rId42"/>
      </mc:Fallback>
    </mc:AlternateContent>
    <mc:AlternateContent xmlns:mc="http://schemas.openxmlformats.org/markup-compatibility/2006">
      <mc:Choice Requires="x14">
        <oleObject progId="Equation.DSMT4" shapeId="1080" r:id="rId44">
          <objectPr defaultSize="0" autoPict="0" r:id="rId45">
            <anchor moveWithCells="1" sizeWithCells="1">
              <from>
                <xdr:col>4</xdr:col>
                <xdr:colOff>0</xdr:colOff>
                <xdr:row>44</xdr:row>
                <xdr:rowOff>0</xdr:rowOff>
              </from>
              <to>
                <xdr:col>4</xdr:col>
                <xdr:colOff>390525</xdr:colOff>
                <xdr:row>45</xdr:row>
                <xdr:rowOff>19050</xdr:rowOff>
              </to>
            </anchor>
          </objectPr>
        </oleObject>
      </mc:Choice>
      <mc:Fallback>
        <oleObject progId="Equation.DSMT4" shapeId="1080" r:id="rId44"/>
      </mc:Fallback>
    </mc:AlternateContent>
    <mc:AlternateContent xmlns:mc="http://schemas.openxmlformats.org/markup-compatibility/2006">
      <mc:Choice Requires="x14">
        <oleObject progId="Equation.DSMT4" shapeId="1081" r:id="rId46">
          <objectPr defaultSize="0" autoPict="0" r:id="rId47">
            <anchor moveWithCells="1" siz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333375</xdr:colOff>
                <xdr:row>3</xdr:row>
                <xdr:rowOff>0</xdr:rowOff>
              </to>
            </anchor>
          </objectPr>
        </oleObject>
      </mc:Choice>
      <mc:Fallback>
        <oleObject progId="Equation.DSMT4" shapeId="1081" r:id="rId46"/>
      </mc:Fallback>
    </mc:AlternateContent>
    <mc:AlternateContent xmlns:mc="http://schemas.openxmlformats.org/markup-compatibility/2006">
      <mc:Choice Requires="x14">
        <oleObject progId="Equation.DSMT4" shapeId="1083" r:id="rId48">
          <objectPr defaultSize="0" autoPict="0" r:id="rId49">
            <anchor moveWithCells="1" sizeWithCells="1">
              <from>
                <xdr:col>6</xdr:col>
                <xdr:colOff>0</xdr:colOff>
                <xdr:row>41</xdr:row>
                <xdr:rowOff>0</xdr:rowOff>
              </from>
              <to>
                <xdr:col>6</xdr:col>
                <xdr:colOff>247650</xdr:colOff>
                <xdr:row>42</xdr:row>
                <xdr:rowOff>19050</xdr:rowOff>
              </to>
            </anchor>
          </objectPr>
        </oleObject>
      </mc:Choice>
      <mc:Fallback>
        <oleObject progId="Equation.DSMT4" shapeId="1083" r:id="rId48"/>
      </mc:Fallback>
    </mc:AlternateContent>
    <mc:AlternateContent xmlns:mc="http://schemas.openxmlformats.org/markup-compatibility/2006">
      <mc:Choice Requires="x14">
        <oleObject progId="Equation.DSMT4" shapeId="1084" r:id="rId50">
          <objectPr defaultSize="0" autoPict="0" r:id="rId49">
            <anchor moveWithCells="1" sizeWithCells="1">
              <from>
                <xdr:col>6</xdr:col>
                <xdr:colOff>0</xdr:colOff>
                <xdr:row>42</xdr:row>
                <xdr:rowOff>0</xdr:rowOff>
              </from>
              <to>
                <xdr:col>6</xdr:col>
                <xdr:colOff>247650</xdr:colOff>
                <xdr:row>43</xdr:row>
                <xdr:rowOff>19050</xdr:rowOff>
              </to>
            </anchor>
          </objectPr>
        </oleObject>
      </mc:Choice>
      <mc:Fallback>
        <oleObject progId="Equation.DSMT4" shapeId="1084" r:id="rId50"/>
      </mc:Fallback>
    </mc:AlternateContent>
    <mc:AlternateContent xmlns:mc="http://schemas.openxmlformats.org/markup-compatibility/2006">
      <mc:Choice Requires="x14">
        <oleObject progId="Equation.DSMT4" shapeId="1085" r:id="rId51">
          <objectPr defaultSize="0" autoPict="0" r:id="rId49">
            <anchor moveWithCells="1" sizeWithCells="1">
              <from>
                <xdr:col>6</xdr:col>
                <xdr:colOff>0</xdr:colOff>
                <xdr:row>43</xdr:row>
                <xdr:rowOff>0</xdr:rowOff>
              </from>
              <to>
                <xdr:col>6</xdr:col>
                <xdr:colOff>247650</xdr:colOff>
                <xdr:row>44</xdr:row>
                <xdr:rowOff>19050</xdr:rowOff>
              </to>
            </anchor>
          </objectPr>
        </oleObject>
      </mc:Choice>
      <mc:Fallback>
        <oleObject progId="Equation.DSMT4" shapeId="1085" r:id="rId51"/>
      </mc:Fallback>
    </mc:AlternateContent>
    <mc:AlternateContent xmlns:mc="http://schemas.openxmlformats.org/markup-compatibility/2006">
      <mc:Choice Requires="x14">
        <oleObject progId="Equation.DSMT4" shapeId="1086" r:id="rId52">
          <objectPr defaultSize="0" autoPict="0" r:id="rId49">
            <anchor moveWithCells="1" sizeWithCells="1">
              <from>
                <xdr:col>6</xdr:col>
                <xdr:colOff>0</xdr:colOff>
                <xdr:row>44</xdr:row>
                <xdr:rowOff>0</xdr:rowOff>
              </from>
              <to>
                <xdr:col>6</xdr:col>
                <xdr:colOff>247650</xdr:colOff>
                <xdr:row>45</xdr:row>
                <xdr:rowOff>19050</xdr:rowOff>
              </to>
            </anchor>
          </objectPr>
        </oleObject>
      </mc:Choice>
      <mc:Fallback>
        <oleObject progId="Equation.DSMT4" shapeId="1086" r:id="rId52"/>
      </mc:Fallback>
    </mc:AlternateContent>
    <mc:AlternateContent xmlns:mc="http://schemas.openxmlformats.org/markup-compatibility/2006">
      <mc:Choice Requires="x14">
        <oleObject progId="Equation.DSMT4" shapeId="1087" r:id="rId53">
          <objectPr defaultSize="0" r:id="rId54">
            <anchor moveWithCells="1" sizeWithCells="1">
              <from>
                <xdr:col>0</xdr:col>
                <xdr:colOff>19050</xdr:colOff>
                <xdr:row>47</xdr:row>
                <xdr:rowOff>0</xdr:rowOff>
              </from>
              <to>
                <xdr:col>0</xdr:col>
                <xdr:colOff>342900</xdr:colOff>
                <xdr:row>48</xdr:row>
                <xdr:rowOff>19050</xdr:rowOff>
              </to>
            </anchor>
          </objectPr>
        </oleObject>
      </mc:Choice>
      <mc:Fallback>
        <oleObject progId="Equation.DSMT4" shapeId="1087" r:id="rId53"/>
      </mc:Fallback>
    </mc:AlternateContent>
    <mc:AlternateContent xmlns:mc="http://schemas.openxmlformats.org/markup-compatibility/2006">
      <mc:Choice Requires="x14">
        <oleObject progId="Equation.DSMT4" shapeId="1088" r:id="rId55">
          <objectPr defaultSize="0" autoPict="0" r:id="rId49">
            <anchor moveWithCells="1" sizeWithCells="1">
              <from>
                <xdr:col>6</xdr:col>
                <xdr:colOff>0</xdr:colOff>
                <xdr:row>47</xdr:row>
                <xdr:rowOff>0</xdr:rowOff>
              </from>
              <to>
                <xdr:col>6</xdr:col>
                <xdr:colOff>247650</xdr:colOff>
                <xdr:row>48</xdr:row>
                <xdr:rowOff>19050</xdr:rowOff>
              </to>
            </anchor>
          </objectPr>
        </oleObject>
      </mc:Choice>
      <mc:Fallback>
        <oleObject progId="Equation.DSMT4" shapeId="1088" r:id="rId55"/>
      </mc:Fallback>
    </mc:AlternateContent>
    <mc:AlternateContent xmlns:mc="http://schemas.openxmlformats.org/markup-compatibility/2006">
      <mc:Choice Requires="x14">
        <oleObject progId="Equation.DSMT4" shapeId="1089" r:id="rId56">
          <objectPr defaultSize="0" autoPict="0" r:id="rId57">
            <anchor moveWithCells="1" sizeWithCells="1">
              <from>
                <xdr:col>4</xdr:col>
                <xdr:colOff>0</xdr:colOff>
                <xdr:row>47</xdr:row>
                <xdr:rowOff>0</xdr:rowOff>
              </from>
              <to>
                <xdr:col>4</xdr:col>
                <xdr:colOff>390525</xdr:colOff>
                <xdr:row>48</xdr:row>
                <xdr:rowOff>19050</xdr:rowOff>
              </to>
            </anchor>
          </objectPr>
        </oleObject>
      </mc:Choice>
      <mc:Fallback>
        <oleObject progId="Equation.DSMT4" shapeId="1089" r:id="rId56"/>
      </mc:Fallback>
    </mc:AlternateContent>
    <mc:AlternateContent xmlns:mc="http://schemas.openxmlformats.org/markup-compatibility/2006">
      <mc:Choice Requires="x14">
        <oleObject progId="Equation.DSMT4" shapeId="1093" r:id="rId58">
          <objectPr defaultSize="0" autoPict="0" r:id="rId59">
            <anchor moveWithCells="1" sizeWithCells="1">
              <from>
                <xdr:col>0</xdr:col>
                <xdr:colOff>19050</xdr:colOff>
                <xdr:row>50</xdr:row>
                <xdr:rowOff>0</xdr:rowOff>
              </from>
              <to>
                <xdr:col>0</xdr:col>
                <xdr:colOff>342900</xdr:colOff>
                <xdr:row>51</xdr:row>
                <xdr:rowOff>19050</xdr:rowOff>
              </to>
            </anchor>
          </objectPr>
        </oleObject>
      </mc:Choice>
      <mc:Fallback>
        <oleObject progId="Equation.DSMT4" shapeId="1093" r:id="rId58"/>
      </mc:Fallback>
    </mc:AlternateContent>
    <mc:AlternateContent xmlns:mc="http://schemas.openxmlformats.org/markup-compatibility/2006">
      <mc:Choice Requires="x14">
        <oleObject progId="Equation.DSMT4" shapeId="1094" r:id="rId60">
          <objectPr defaultSize="0" autoPict="0" r:id="rId61">
            <anchor moveWithCells="1" sizeWithCells="1">
              <from>
                <xdr:col>0</xdr:col>
                <xdr:colOff>19050</xdr:colOff>
                <xdr:row>51</xdr:row>
                <xdr:rowOff>0</xdr:rowOff>
              </from>
              <to>
                <xdr:col>0</xdr:col>
                <xdr:colOff>342900</xdr:colOff>
                <xdr:row>52</xdr:row>
                <xdr:rowOff>19050</xdr:rowOff>
              </to>
            </anchor>
          </objectPr>
        </oleObject>
      </mc:Choice>
      <mc:Fallback>
        <oleObject progId="Equation.DSMT4" shapeId="1094" r:id="rId60"/>
      </mc:Fallback>
    </mc:AlternateContent>
    <mc:AlternateContent xmlns:mc="http://schemas.openxmlformats.org/markup-compatibility/2006">
      <mc:Choice Requires="x14">
        <oleObject progId="Equation.DSMT4" shapeId="1095" r:id="rId62">
          <objectPr defaultSize="0" autoPict="0" r:id="rId63">
            <anchor moveWithCells="1" sizeWithCells="1">
              <from>
                <xdr:col>0</xdr:col>
                <xdr:colOff>19050</xdr:colOff>
                <xdr:row>52</xdr:row>
                <xdr:rowOff>0</xdr:rowOff>
              </from>
              <to>
                <xdr:col>0</xdr:col>
                <xdr:colOff>342900</xdr:colOff>
                <xdr:row>53</xdr:row>
                <xdr:rowOff>19050</xdr:rowOff>
              </to>
            </anchor>
          </objectPr>
        </oleObject>
      </mc:Choice>
      <mc:Fallback>
        <oleObject progId="Equation.DSMT4" shapeId="1095" r:id="rId62"/>
      </mc:Fallback>
    </mc:AlternateContent>
    <mc:AlternateContent xmlns:mc="http://schemas.openxmlformats.org/markup-compatibility/2006">
      <mc:Choice Requires="x14">
        <oleObject progId="Equation.DSMT4" shapeId="1096" r:id="rId64">
          <objectPr defaultSize="0" autoPict="0" r:id="rId65">
            <anchor moveWithCells="1" sizeWithCells="1">
              <from>
                <xdr:col>6</xdr:col>
                <xdr:colOff>0</xdr:colOff>
                <xdr:row>50</xdr:row>
                <xdr:rowOff>0</xdr:rowOff>
              </from>
              <to>
                <xdr:col>6</xdr:col>
                <xdr:colOff>247650</xdr:colOff>
                <xdr:row>51</xdr:row>
                <xdr:rowOff>19050</xdr:rowOff>
              </to>
            </anchor>
          </objectPr>
        </oleObject>
      </mc:Choice>
      <mc:Fallback>
        <oleObject progId="Equation.DSMT4" shapeId="1096" r:id="rId64"/>
      </mc:Fallback>
    </mc:AlternateContent>
    <mc:AlternateContent xmlns:mc="http://schemas.openxmlformats.org/markup-compatibility/2006">
      <mc:Choice Requires="x14">
        <oleObject progId="Equation.DSMT4" shapeId="1100" r:id="rId66">
          <objectPr defaultSize="0" autoPict="0" r:id="rId67">
            <anchor moveWithCells="1" sizeWithCells="1">
              <from>
                <xdr:col>4</xdr:col>
                <xdr:colOff>0</xdr:colOff>
                <xdr:row>50</xdr:row>
                <xdr:rowOff>0</xdr:rowOff>
              </from>
              <to>
                <xdr:col>4</xdr:col>
                <xdr:colOff>390525</xdr:colOff>
                <xdr:row>51</xdr:row>
                <xdr:rowOff>19050</xdr:rowOff>
              </to>
            </anchor>
          </objectPr>
        </oleObject>
      </mc:Choice>
      <mc:Fallback>
        <oleObject progId="Equation.DSMT4" shapeId="1100" r:id="rId66"/>
      </mc:Fallback>
    </mc:AlternateContent>
    <mc:AlternateContent xmlns:mc="http://schemas.openxmlformats.org/markup-compatibility/2006">
      <mc:Choice Requires="x14">
        <oleObject progId="Equation.DSMT4" shapeId="1102" r:id="rId68">
          <objectPr defaultSize="0" autoPict="0" r:id="rId65">
            <anchor moveWithCells="1" sizeWithCells="1">
              <from>
                <xdr:col>6</xdr:col>
                <xdr:colOff>0</xdr:colOff>
                <xdr:row>51</xdr:row>
                <xdr:rowOff>0</xdr:rowOff>
              </from>
              <to>
                <xdr:col>6</xdr:col>
                <xdr:colOff>247650</xdr:colOff>
                <xdr:row>52</xdr:row>
                <xdr:rowOff>19050</xdr:rowOff>
              </to>
            </anchor>
          </objectPr>
        </oleObject>
      </mc:Choice>
      <mc:Fallback>
        <oleObject progId="Equation.DSMT4" shapeId="1102" r:id="rId68"/>
      </mc:Fallback>
    </mc:AlternateContent>
    <mc:AlternateContent xmlns:mc="http://schemas.openxmlformats.org/markup-compatibility/2006">
      <mc:Choice Requires="x14">
        <oleObject progId="Equation.DSMT4" shapeId="1103" r:id="rId69">
          <objectPr defaultSize="0" autoPict="0" r:id="rId65">
            <anchor moveWithCells="1" sizeWithCells="1">
              <from>
                <xdr:col>6</xdr:col>
                <xdr:colOff>0</xdr:colOff>
                <xdr:row>52</xdr:row>
                <xdr:rowOff>0</xdr:rowOff>
              </from>
              <to>
                <xdr:col>6</xdr:col>
                <xdr:colOff>247650</xdr:colOff>
                <xdr:row>53</xdr:row>
                <xdr:rowOff>19050</xdr:rowOff>
              </to>
            </anchor>
          </objectPr>
        </oleObject>
      </mc:Choice>
      <mc:Fallback>
        <oleObject progId="Equation.DSMT4" shapeId="1103" r:id="rId69"/>
      </mc:Fallback>
    </mc:AlternateContent>
    <mc:AlternateContent xmlns:mc="http://schemas.openxmlformats.org/markup-compatibility/2006">
      <mc:Choice Requires="x14">
        <oleObject progId="Equation.DSMT4" shapeId="1105" r:id="rId70">
          <objectPr defaultSize="0" autoPict="0" r:id="rId65">
            <anchor moveWithCells="1" sizeWithCells="1">
              <from>
                <xdr:col>6</xdr:col>
                <xdr:colOff>0</xdr:colOff>
                <xdr:row>53</xdr:row>
                <xdr:rowOff>0</xdr:rowOff>
              </from>
              <to>
                <xdr:col>6</xdr:col>
                <xdr:colOff>247650</xdr:colOff>
                <xdr:row>54</xdr:row>
                <xdr:rowOff>19050</xdr:rowOff>
              </to>
            </anchor>
          </objectPr>
        </oleObject>
      </mc:Choice>
      <mc:Fallback>
        <oleObject progId="Equation.DSMT4" shapeId="1105" r:id="rId70"/>
      </mc:Fallback>
    </mc:AlternateContent>
    <mc:AlternateContent xmlns:mc="http://schemas.openxmlformats.org/markup-compatibility/2006">
      <mc:Choice Requires="x14">
        <oleObject progId="Equation.DSMT4" shapeId="1106" r:id="rId71">
          <objectPr defaultSize="0" autoPict="0" r:id="rId72">
            <anchor moveWithCells="1" sizeWithCells="1">
              <from>
                <xdr:col>4</xdr:col>
                <xdr:colOff>0</xdr:colOff>
                <xdr:row>51</xdr:row>
                <xdr:rowOff>0</xdr:rowOff>
              </from>
              <to>
                <xdr:col>4</xdr:col>
                <xdr:colOff>390525</xdr:colOff>
                <xdr:row>52</xdr:row>
                <xdr:rowOff>19050</xdr:rowOff>
              </to>
            </anchor>
          </objectPr>
        </oleObject>
      </mc:Choice>
      <mc:Fallback>
        <oleObject progId="Equation.DSMT4" shapeId="1106" r:id="rId71"/>
      </mc:Fallback>
    </mc:AlternateContent>
    <mc:AlternateContent xmlns:mc="http://schemas.openxmlformats.org/markup-compatibility/2006">
      <mc:Choice Requires="x14">
        <oleObject progId="Equation.DSMT4" shapeId="1107" r:id="rId73">
          <objectPr defaultSize="0" autoPict="0" r:id="rId74">
            <anchor moveWithCells="1" sizeWithCells="1">
              <from>
                <xdr:col>4</xdr:col>
                <xdr:colOff>0</xdr:colOff>
                <xdr:row>52</xdr:row>
                <xdr:rowOff>0</xdr:rowOff>
              </from>
              <to>
                <xdr:col>4</xdr:col>
                <xdr:colOff>390525</xdr:colOff>
                <xdr:row>53</xdr:row>
                <xdr:rowOff>19050</xdr:rowOff>
              </to>
            </anchor>
          </objectPr>
        </oleObject>
      </mc:Choice>
      <mc:Fallback>
        <oleObject progId="Equation.DSMT4" shapeId="1107" r:id="rId73"/>
      </mc:Fallback>
    </mc:AlternateContent>
    <mc:AlternateContent xmlns:mc="http://schemas.openxmlformats.org/markup-compatibility/2006">
      <mc:Choice Requires="x14">
        <oleObject progId="Equation.DSMT4" shapeId="1109" r:id="rId75">
          <objectPr defaultSize="0" autoPict="0" r:id="rId76">
            <anchor moveWithCells="1" sizeWithCells="1">
              <from>
                <xdr:col>4</xdr:col>
                <xdr:colOff>0</xdr:colOff>
                <xdr:row>53</xdr:row>
                <xdr:rowOff>0</xdr:rowOff>
              </from>
              <to>
                <xdr:col>4</xdr:col>
                <xdr:colOff>390525</xdr:colOff>
                <xdr:row>54</xdr:row>
                <xdr:rowOff>19050</xdr:rowOff>
              </to>
            </anchor>
          </objectPr>
        </oleObject>
      </mc:Choice>
      <mc:Fallback>
        <oleObject progId="Equation.DSMT4" shapeId="1109" r:id="rId7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8"/>
  <sheetViews>
    <sheetView topLeftCell="A19" workbookViewId="0">
      <selection activeCell="G36" sqref="G36"/>
    </sheetView>
  </sheetViews>
  <sheetFormatPr baseColWidth="10" defaultColWidth="9.140625" defaultRowHeight="15" x14ac:dyDescent="0.25"/>
  <cols>
    <col min="1" max="1" width="9.140625" style="54"/>
    <col min="2" max="2" width="13.5703125" style="54" customWidth="1"/>
    <col min="3" max="3" width="10.5703125" style="54" bestFit="1" customWidth="1"/>
    <col min="4" max="4" width="10.28515625" style="54" customWidth="1"/>
    <col min="5" max="5" width="12" style="54" customWidth="1"/>
    <col min="6" max="6" width="10.28515625" style="54" bestFit="1" customWidth="1"/>
    <col min="7" max="7" width="9.140625" style="54"/>
    <col min="8" max="8" width="12.28515625" style="54" customWidth="1"/>
    <col min="9" max="9" width="10.5703125" style="54" bestFit="1" customWidth="1"/>
    <col min="10" max="10" width="9.140625" style="54"/>
    <col min="11" max="11" width="12.5703125" style="54" customWidth="1"/>
    <col min="12" max="12" width="10.5703125" style="54" bestFit="1" customWidth="1"/>
    <col min="13" max="16384" width="9.140625" style="54"/>
  </cols>
  <sheetData>
    <row r="1" spans="1:11" s="50" customFormat="1" ht="11.25" x14ac:dyDescent="0.2">
      <c r="A1" s="50" t="s">
        <v>8</v>
      </c>
      <c r="D1" s="51"/>
      <c r="F1" s="52">
        <f>AVERAGE(MP!F42:F45)</f>
        <v>0.99945604597553239</v>
      </c>
    </row>
    <row r="2" spans="1:11" s="50" customFormat="1" ht="11.25" x14ac:dyDescent="0.2">
      <c r="A2" s="50" t="s">
        <v>9</v>
      </c>
      <c r="B2" s="53">
        <v>6378137</v>
      </c>
      <c r="C2" s="50" t="s">
        <v>2</v>
      </c>
      <c r="D2" s="51" t="s">
        <v>12</v>
      </c>
      <c r="E2" s="50">
        <f>ASIN(1)*2</f>
        <v>3.1415926535897931</v>
      </c>
    </row>
    <row r="3" spans="1:11" s="50" customFormat="1" ht="11.25" x14ac:dyDescent="0.2">
      <c r="A3" s="50" t="s">
        <v>10</v>
      </c>
      <c r="B3" s="50">
        <v>6356752.3140000002</v>
      </c>
      <c r="C3" s="50" t="s">
        <v>2</v>
      </c>
      <c r="D3" s="51" t="s">
        <v>13</v>
      </c>
      <c r="E3" s="50">
        <f>200/E2</f>
        <v>63.661977236758133</v>
      </c>
    </row>
    <row r="4" spans="1:11" s="50" customFormat="1" ht="11.25" x14ac:dyDescent="0.2">
      <c r="A4" s="50" t="s">
        <v>16</v>
      </c>
      <c r="B4" s="50">
        <f>(B2^2-B3^2) / (B2^2)</f>
        <v>6.6943800667646578E-3</v>
      </c>
      <c r="D4" s="51" t="s">
        <v>14</v>
      </c>
      <c r="E4" s="50">
        <f>180/E2</f>
        <v>57.295779513082323</v>
      </c>
    </row>
    <row r="5" spans="1:11" s="50" customFormat="1" ht="11.25" x14ac:dyDescent="0.2">
      <c r="A5" s="50" t="s">
        <v>18</v>
      </c>
      <c r="B5" s="50">
        <f>(B2^2-B3^2)/B3^2</f>
        <v>6.739496819936062E-3</v>
      </c>
      <c r="D5" s="51" t="s">
        <v>17</v>
      </c>
      <c r="E5" s="53">
        <f>B2-B3</f>
        <v>21384.685999999754</v>
      </c>
    </row>
    <row r="6" spans="1:11" s="50" customFormat="1" ht="11.25" x14ac:dyDescent="0.2">
      <c r="A6" s="50" t="s">
        <v>19</v>
      </c>
      <c r="B6" s="50">
        <f>B2^2/B3</f>
        <v>6399593.6260053245</v>
      </c>
      <c r="D6" s="51"/>
    </row>
    <row r="7" spans="1:11" s="50" customFormat="1" ht="11.25" x14ac:dyDescent="0.2">
      <c r="A7" s="50" t="s">
        <v>20</v>
      </c>
      <c r="B7" s="50">
        <f>B6/E4*(1-3/4*B5+45/64*B5^2-175/256*B5^3+11025/16384*B5^4)</f>
        <v>111132.95254680903</v>
      </c>
      <c r="D7" s="51"/>
    </row>
    <row r="8" spans="1:11" s="50" customFormat="1" ht="11.25" x14ac:dyDescent="0.2">
      <c r="A8" s="50" t="s">
        <v>21</v>
      </c>
      <c r="B8" s="50">
        <f>E4*(3/8*B5-3/16*B5^2+213/2048*B5^3)</f>
        <v>0.14431814159609074</v>
      </c>
      <c r="D8" s="51"/>
    </row>
    <row r="9" spans="1:11" s="50" customFormat="1" ht="11.25" x14ac:dyDescent="0.2">
      <c r="A9" s="50" t="s">
        <v>22</v>
      </c>
      <c r="B9" s="50">
        <f>E4*(21/256*B5^2-21/256*B5^3)</f>
        <v>2.1204111216608626E-4</v>
      </c>
      <c r="D9" s="51"/>
    </row>
    <row r="10" spans="1:11" s="50" customFormat="1" ht="11.25" x14ac:dyDescent="0.2">
      <c r="A10" s="50" t="s">
        <v>23</v>
      </c>
      <c r="B10" s="50">
        <f>E4*151/6144*B5^3</f>
        <v>4.3105311796695959E-7</v>
      </c>
      <c r="D10" s="51"/>
    </row>
    <row r="11" spans="1:11" s="50" customFormat="1" ht="11.25" x14ac:dyDescent="0.2">
      <c r="D11" s="51"/>
    </row>
    <row r="12" spans="1:11" s="50" customFormat="1" ht="11.25" x14ac:dyDescent="0.2">
      <c r="B12" s="50" t="s">
        <v>0</v>
      </c>
      <c r="D12" s="51"/>
      <c r="E12" s="50" t="s">
        <v>7</v>
      </c>
      <c r="H12" s="50" t="s">
        <v>36</v>
      </c>
      <c r="K12" s="50" t="s">
        <v>37</v>
      </c>
    </row>
    <row r="13" spans="1:11" s="50" customFormat="1" ht="11.25" x14ac:dyDescent="0.2">
      <c r="B13" s="50">
        <f>IF(MP!B12&gt;33000000,MP!B12-33000000,MP!B12-32000000)</f>
        <v>500000</v>
      </c>
      <c r="D13" s="51"/>
      <c r="E13" s="53">
        <f>IF(MP!B27&gt;33000000,MP!B27-33000000,MP!B27-32000000)</f>
        <v>500000</v>
      </c>
      <c r="H13" s="53">
        <f>IF(MP!F12&gt;33000000,MP!F12-33000000,MP!F12-32000000)</f>
        <v>501000</v>
      </c>
      <c r="K13" s="53">
        <f>IF(MP!F27&gt;33000000,MP!F27-33000000,MP!F27-32000000)</f>
        <v>501000</v>
      </c>
    </row>
    <row r="14" spans="1:11" s="50" customFormat="1" ht="11.25" x14ac:dyDescent="0.2">
      <c r="B14" s="50">
        <f>B13-500000</f>
        <v>0</v>
      </c>
      <c r="D14" s="51"/>
      <c r="E14" s="50">
        <f>E13-500000</f>
        <v>0</v>
      </c>
      <c r="H14" s="50">
        <f>H13-500000</f>
        <v>1000</v>
      </c>
      <c r="K14" s="50">
        <f>K13-500000</f>
        <v>1000</v>
      </c>
    </row>
    <row r="15" spans="1:11" s="50" customFormat="1" ht="11.25" x14ac:dyDescent="0.2">
      <c r="A15" s="50" t="s">
        <v>24</v>
      </c>
      <c r="B15" s="50">
        <f>(MP!B13/0.9996)/$B$7</f>
        <v>47.970762323944626</v>
      </c>
      <c r="D15" s="51"/>
      <c r="E15" s="50">
        <f>(MP!B28/0.9996)/$B$7</f>
        <v>47.961760492020446</v>
      </c>
      <c r="H15" s="50">
        <f>(MP!F13/0.9996)/$B$7</f>
        <v>47.970762323944626</v>
      </c>
      <c r="K15" s="50">
        <f>(MP!F28/0.9996)/$B$7</f>
        <v>47.961760492020446</v>
      </c>
    </row>
    <row r="16" spans="1:11" s="50" customFormat="1" ht="11.25" x14ac:dyDescent="0.2">
      <c r="A16" s="50" t="s">
        <v>11</v>
      </c>
      <c r="B16" s="50">
        <f>B15+$B$8*SIN( (2*B15)/$E$4 )+$B$9*SIN( (4*B15)/$E$4 )+$B$10*SIN( (6*B15)/$E$4 )</f>
        <v>48.114261124089815</v>
      </c>
      <c r="D16" s="51"/>
      <c r="E16" s="50">
        <f>E15+$B$8*SIN( (2*E15)/$E$4 )+$B$9*SIN( (4*E15)/$E$4 )+$B$10*SIN( (6*E15)/$E$4 )</f>
        <v>48.105264109501924</v>
      </c>
      <c r="H16" s="50">
        <f>H15+$B$8*SIN( (2*H15)/$E$4 )+$B$9*SIN( (4*H15)/$E$4 )+$B$10*SIN( (6*H15)/$E$4 )</f>
        <v>48.114261124089815</v>
      </c>
      <c r="K16" s="50">
        <f>K15+$B$8*SIN( (2*K15)/$E$4 )+$B$9*SIN( (4*K15)/$E$4 )+$B$10*SIN( (6*K15)/$E$4 )</f>
        <v>48.105264109501924</v>
      </c>
    </row>
    <row r="17" spans="1:12" s="50" customFormat="1" ht="11.25" x14ac:dyDescent="0.2">
      <c r="A17" s="50" t="s">
        <v>25</v>
      </c>
      <c r="B17" s="50">
        <f>$B$5*COS(B16/$E$4)^2</f>
        <v>3.0041501248101047E-3</v>
      </c>
      <c r="D17" s="51"/>
      <c r="E17" s="50">
        <f>$B$5*COS(E16/$E$4)^2</f>
        <v>3.0052021823611572E-3</v>
      </c>
      <c r="H17" s="50">
        <f>$B$5*COS(H16/$E$4)^2</f>
        <v>3.0041501248101047E-3</v>
      </c>
      <c r="K17" s="50">
        <f>$B$5*COS(K16/$E$4)^2</f>
        <v>3.0052021823611572E-3</v>
      </c>
    </row>
    <row r="18" spans="1:12" s="50" customFormat="1" ht="11.25" x14ac:dyDescent="0.2">
      <c r="A18" s="50" t="s">
        <v>3</v>
      </c>
      <c r="B18" s="50">
        <f>$B$6/SQRT(1+B17)</f>
        <v>6390002.5603591688</v>
      </c>
      <c r="D18" s="51"/>
      <c r="E18" s="50">
        <f>$B$6/SQRT(1+E17)</f>
        <v>6389999.2091042632</v>
      </c>
      <c r="H18" s="50">
        <f>$B$6/SQRT(1+H17)</f>
        <v>6390002.5603591688</v>
      </c>
      <c r="K18" s="50">
        <f>$B$6/SQRT(1+K17)</f>
        <v>6389999.2091042632</v>
      </c>
    </row>
    <row r="19" spans="1:12" s="50" customFormat="1" ht="11.25" x14ac:dyDescent="0.2">
      <c r="A19" s="50" t="s">
        <v>26</v>
      </c>
      <c r="B19" s="50">
        <f>-$E$4/ (2*0.9996^2*B18^2)*TAN(B16/$E$4)*(1+B17)</f>
        <v>-7.8531781603223901E-13</v>
      </c>
      <c r="C19" s="50">
        <f>B14^2*B19</f>
        <v>0</v>
      </c>
      <c r="D19" s="51"/>
      <c r="E19" s="50">
        <f>-$E$4/ (2*0.9996^2*E18^2)*TAN(E16/$E$4)*(1+E17)</f>
        <v>-7.8507140886413844E-13</v>
      </c>
      <c r="F19" s="50">
        <f>E14^2*E19</f>
        <v>0</v>
      </c>
      <c r="H19" s="50">
        <f>-$E$4/ (2*0.9996^2*H18^2)*TAN(H16/$E$4)*(1+H17)</f>
        <v>-7.8531781603223901E-13</v>
      </c>
      <c r="I19" s="50">
        <f>H14^2*H19</f>
        <v>-7.8531781603223899E-7</v>
      </c>
      <c r="K19" s="50">
        <f>-$E$4/ (2*0.9996^2*K18^2)*TAN(K16/$E$4)*(1+K17)</f>
        <v>-7.8507140886413844E-13</v>
      </c>
      <c r="L19" s="50">
        <f>K14^2*K19</f>
        <v>-7.8507140886413841E-7</v>
      </c>
    </row>
    <row r="20" spans="1:12" s="50" customFormat="1" ht="11.25" x14ac:dyDescent="0.2">
      <c r="A20" s="50" t="s">
        <v>27</v>
      </c>
      <c r="B20" s="50">
        <f>$E$4/(24*0.9996^4*B18^4)*TAN(B16/$E$4)*(5+3*TAN(B16/$E$4)^2+6*B17*(1-TAN(B16/$E$4)^2))</f>
        <v>1.3954431012679514E-26</v>
      </c>
      <c r="C20" s="50">
        <f>B14^4*B20</f>
        <v>0</v>
      </c>
      <c r="D20" s="51"/>
      <c r="E20" s="50">
        <f>$E$4/(24*0.9996^4*E18^4)*TAN(E16/$E$4)*(5+3*TAN(E16/$E$4)^2+6*E17*(1-TAN(E16/$E$4)^2))</f>
        <v>1.3946306028101969E-26</v>
      </c>
      <c r="F20" s="50">
        <f>E14^4*E20</f>
        <v>0</v>
      </c>
      <c r="H20" s="50">
        <f>$E$4/(24*0.9996^4*H18^4)*TAN(H16/$E$4)*(5+3*TAN(H16/$E$4)^2+6*H17*(1-TAN(H16/$E$4)^2))</f>
        <v>1.3954431012679514E-26</v>
      </c>
      <c r="I20" s="50">
        <f>H14^4*H20</f>
        <v>1.3954431012679513E-14</v>
      </c>
      <c r="K20" s="50">
        <f>$E$4/(24*0.9996^4*K18^4)*TAN(K16/$E$4)*(5+3*TAN(K16/$E$4)^2+6*K17*(1-TAN(K16/$E$4)^2))</f>
        <v>1.3946306028101969E-26</v>
      </c>
      <c r="L20" s="50">
        <f>K14^4*K20</f>
        <v>1.3946306028101968E-14</v>
      </c>
    </row>
    <row r="21" spans="1:12" s="50" customFormat="1" ht="11.25" x14ac:dyDescent="0.2">
      <c r="A21" s="50" t="s">
        <v>28</v>
      </c>
      <c r="B21" s="50">
        <f>-$E$4/(720*0.9996^6*B18^6)*TAN(B16/$E$4)*(61+90*TAN(B16/$E$4)^2+45*TAN(B16/$E$4)^4)</f>
        <v>-3.1681208327429452E-40</v>
      </c>
      <c r="C21" s="50">
        <f>B14^6*B21</f>
        <v>0</v>
      </c>
      <c r="D21" s="51"/>
      <c r="E21" s="50">
        <f>-$E$4/(720*0.9996^6*E18^6)*TAN(E16/$E$4)*(61+90*TAN(E16/$E$4)^2+45*TAN(E16/$E$4)^4)</f>
        <v>-3.1650592964209274E-40</v>
      </c>
      <c r="F21" s="50">
        <f>E14^6*E21</f>
        <v>0</v>
      </c>
      <c r="H21" s="50">
        <f>-$E$4/(720*0.9996^6*H18^6)*TAN(H16/$E$4)*(61+90*TAN(H16/$E$4)^2+45*TAN(H16/$E$4)^4)</f>
        <v>-3.1681208327429452E-40</v>
      </c>
      <c r="I21" s="50">
        <f>H14^6*H21</f>
        <v>-3.1681208327429452E-22</v>
      </c>
      <c r="K21" s="50">
        <f>-$E$4/(720*0.9996^6*K18^6)*TAN(K16/$E$4)*(61+90*TAN(K16/$E$4)^2+45*TAN(K16/$E$4)^4)</f>
        <v>-3.1650592964209274E-40</v>
      </c>
      <c r="L21" s="50">
        <f>K14^6*K21</f>
        <v>-3.1650592964209272E-22</v>
      </c>
    </row>
    <row r="22" spans="1:12" s="50" customFormat="1" ht="11.25" x14ac:dyDescent="0.2">
      <c r="A22" s="50" t="s">
        <v>15</v>
      </c>
      <c r="B22" s="50">
        <f>B16+C19+C20+C21</f>
        <v>48.114261124089815</v>
      </c>
      <c r="D22" s="51"/>
      <c r="E22" s="52">
        <f>E16+F19+F20+F21</f>
        <v>48.105264109501924</v>
      </c>
      <c r="H22" s="52">
        <f>H16+I19+I20+I21</f>
        <v>48.114260338772013</v>
      </c>
      <c r="K22" s="52">
        <f>K16+L19+L20+L21</f>
        <v>48.105263324430531</v>
      </c>
    </row>
    <row r="23" spans="1:12" s="50" customFormat="1" ht="11.25" x14ac:dyDescent="0.2">
      <c r="A23" s="50" t="s">
        <v>29</v>
      </c>
      <c r="B23" s="50">
        <f>$E$4/(0.9996*B18*COS(B16/$E$4))</f>
        <v>1.3435327996450971E-5</v>
      </c>
      <c r="C23" s="50">
        <f>B14*B23</f>
        <v>0</v>
      </c>
      <c r="D23" s="51"/>
      <c r="E23" s="50">
        <f>$E$4/(0.9996*E18*COS(E16/$E$4))</f>
        <v>1.3432983123859261E-5</v>
      </c>
      <c r="F23" s="50">
        <f>E14*E23</f>
        <v>0</v>
      </c>
      <c r="H23" s="50">
        <f>$E$4/(0.9996*H18*COS(H16/$E$4))</f>
        <v>1.3435327996450971E-5</v>
      </c>
      <c r="I23" s="50">
        <f>H14*H23</f>
        <v>1.3435327996450971E-2</v>
      </c>
      <c r="K23" s="50">
        <f>$E$4/(0.9996*K18*COS(K16/$E$4))</f>
        <v>1.3432983123859261E-5</v>
      </c>
      <c r="L23" s="50">
        <f>K14*K23</f>
        <v>1.3432983123859262E-2</v>
      </c>
    </row>
    <row r="24" spans="1:12" s="50" customFormat="1" ht="11.25" x14ac:dyDescent="0.2">
      <c r="A24" s="50" t="s">
        <v>30</v>
      </c>
      <c r="B24" s="50">
        <f>-$E$4/(6*0.9996^3*B18^3*COS(B16/$E$4))*(1+2*TAN(B16/$E$4)^2+B17)</f>
        <v>-1.9153246330960511E-19</v>
      </c>
      <c r="C24" s="50">
        <f>B14^3*B24</f>
        <v>0</v>
      </c>
      <c r="D24" s="51"/>
      <c r="E24" s="50">
        <f>-$E$4/(6*0.9996^3*E18^3*COS(E16/$E$4))*(1+2*TAN(E16/$E$4)^2+E17)</f>
        <v>-1.9141310131924322E-19</v>
      </c>
      <c r="F24" s="50">
        <f>E14^3*E24</f>
        <v>0</v>
      </c>
      <c r="H24" s="50">
        <f>-$E$4/(6*0.9996^3*H18^3*COS(H16/$E$4))*(1+2*TAN(H16/$E$4)^2+H17)</f>
        <v>-1.9153246330960511E-19</v>
      </c>
      <c r="I24" s="50">
        <f>H14^3*H24</f>
        <v>-1.9153246330960511E-10</v>
      </c>
      <c r="K24" s="50">
        <f>-$E$4/(6*0.9996^3*K18^3*COS(K16/$E$4))*(1+2*TAN(K16/$E$4)^2+K17)</f>
        <v>-1.9141310131924322E-19</v>
      </c>
      <c r="L24" s="50">
        <f>K14^3*K24</f>
        <v>-1.9141310131924321E-10</v>
      </c>
    </row>
    <row r="25" spans="1:12" s="50" customFormat="1" ht="11.25" x14ac:dyDescent="0.2">
      <c r="A25" s="50" t="s">
        <v>31</v>
      </c>
      <c r="B25" s="50">
        <f>$E$4/(120*0.9996^5*B18^5*COS(B16/$E$4))*(5+28*TAN(B16/$E$4)^2+24*TAN(B16/$E$4)^4)</f>
        <v>5.1736415265845494E-33</v>
      </c>
      <c r="C25" s="50">
        <f>B14^5*B25</f>
        <v>0</v>
      </c>
      <c r="D25" s="51"/>
      <c r="E25" s="50">
        <f>$E$4/(120*0.9996^5*E18^5*COS(E16/$E$4))*(5+28*TAN(E16/$E$4)^2+24*TAN(E16/$E$4)^4)</f>
        <v>5.168119467252627E-33</v>
      </c>
      <c r="F25" s="50">
        <f>E14^5*E25</f>
        <v>0</v>
      </c>
      <c r="H25" s="50">
        <f>$E$4/(120*0.9996^5*H18^5*COS(H16/$E$4))*(5+28*TAN(H16/$E$4)^2+24*TAN(H16/$E$4)^4)</f>
        <v>5.1736415265845494E-33</v>
      </c>
      <c r="I25" s="50">
        <f>H14^5*H25</f>
        <v>5.1736415265845491E-18</v>
      </c>
      <c r="K25" s="50">
        <f>$E$4/(120*0.9996^5*K18^5*COS(K16/$E$4))*(5+28*TAN(K16/$E$4)^2+24*TAN(K16/$E$4)^4)</f>
        <v>5.168119467252627E-33</v>
      </c>
      <c r="L25" s="50">
        <f>K14^5*K25</f>
        <v>5.1681194672526266E-18</v>
      </c>
    </row>
    <row r="26" spans="1:12" s="50" customFormat="1" ht="11.25" x14ac:dyDescent="0.2">
      <c r="A26" s="50" t="s">
        <v>33</v>
      </c>
      <c r="B26" s="50">
        <f>IF(MP!B12&gt;33000000,12,9)</f>
        <v>9</v>
      </c>
      <c r="D26" s="51"/>
      <c r="E26" s="50">
        <f>IF(MP!B27&gt;33000000,12,9)</f>
        <v>9</v>
      </c>
      <c r="H26" s="50">
        <f>IF(MP!F12&gt;33000000,12,9)</f>
        <v>9</v>
      </c>
      <c r="K26" s="50">
        <f>IF(MP!H29&gt;33000000,12,9)</f>
        <v>9</v>
      </c>
    </row>
    <row r="27" spans="1:12" s="50" customFormat="1" ht="11.25" x14ac:dyDescent="0.2">
      <c r="A27" s="50" t="s">
        <v>32</v>
      </c>
      <c r="B27" s="50">
        <f>B26+C23+C24+C25</f>
        <v>9</v>
      </c>
      <c r="D27" s="51"/>
      <c r="E27" s="52">
        <f>E26+F23+F24+F25</f>
        <v>9</v>
      </c>
      <c r="H27" s="52">
        <f>H26+I23+I24+I25</f>
        <v>9.0134353278049186</v>
      </c>
      <c r="K27" s="52">
        <f>K26+L23+L24+L25</f>
        <v>9.0134329829324464</v>
      </c>
    </row>
    <row r="28" spans="1:12" s="50" customFormat="1" ht="11.25" x14ac:dyDescent="0.2">
      <c r="A28" s="50" t="s">
        <v>34</v>
      </c>
      <c r="B28" s="50">
        <f>$B$2*(1-$B$4)/ ( (1-$B$4*SIN(B22/$E$4)^2)^(3/2) )</f>
        <v>6370863.5298906993</v>
      </c>
      <c r="D28" s="51"/>
      <c r="E28" s="53">
        <f>$B$2*(1-$B$4)/ ( (1-$B$4*SIN(E22/$E$4)^2)^(3/2) )</f>
        <v>6370853.5062437961</v>
      </c>
      <c r="H28" s="53">
        <f>$B$2*(1-$B$4)/ ( (1-$B$4*SIN(H22/$E$4)^2)^(3/2) )</f>
        <v>6370863.5290157832</v>
      </c>
      <c r="K28" s="53">
        <f>$B$2*(1-$B$4)/ ( (1-$B$4*SIN(K22/$E$4)^2)^(3/2) )</f>
        <v>6370853.5053691277</v>
      </c>
    </row>
    <row r="29" spans="1:12" s="50" customFormat="1" ht="11.25" x14ac:dyDescent="0.2">
      <c r="A29" s="50" t="s">
        <v>35</v>
      </c>
      <c r="B29" s="50">
        <f>SQRT(B18*B28)</f>
        <v>6380425.8688351223</v>
      </c>
      <c r="D29" s="51"/>
      <c r="E29" s="53">
        <f>SQRT(E18*E28)</f>
        <v>6380419.1763721118</v>
      </c>
      <c r="H29" s="53">
        <f>SQRT(H18*H28)</f>
        <v>6380425.8683970068</v>
      </c>
      <c r="K29" s="53">
        <f>SQRT(K18*K28)</f>
        <v>6380419.175934121</v>
      </c>
    </row>
    <row r="30" spans="1:12" x14ac:dyDescent="0.25">
      <c r="D30" s="55"/>
    </row>
    <row r="31" spans="1:12" x14ac:dyDescent="0.25">
      <c r="A31" s="50" t="s">
        <v>44</v>
      </c>
      <c r="B31" s="50"/>
      <c r="C31" s="50"/>
      <c r="D31" s="51"/>
      <c r="E31" s="56"/>
    </row>
    <row r="32" spans="1:12" x14ac:dyDescent="0.25">
      <c r="A32" s="50" t="s">
        <v>45</v>
      </c>
      <c r="B32" s="53">
        <f>AVERAGE(MP!B12,MP!F12,MP!F27,MP!B27)</f>
        <v>32500500</v>
      </c>
      <c r="C32" s="50"/>
      <c r="D32" s="51"/>
      <c r="E32" s="56">
        <f>1-$B$34/$B$51</f>
        <v>0.99985598222582339</v>
      </c>
    </row>
    <row r="33" spans="1:5" x14ac:dyDescent="0.25">
      <c r="A33" s="50" t="s">
        <v>46</v>
      </c>
      <c r="B33" s="53">
        <f>AVERAGE(MP!B13,MP!F13,MP!B28,MP!F28)</f>
        <v>5328500</v>
      </c>
      <c r="C33" s="50"/>
      <c r="D33" s="51"/>
      <c r="E33" s="57">
        <f>0.9996*( 1+$B$36^2 / (2*0.9996^2*$B$51^2) )</f>
        <v>0.99960000307174313</v>
      </c>
    </row>
    <row r="34" spans="1:5" x14ac:dyDescent="0.25">
      <c r="A34" s="50" t="s">
        <v>47</v>
      </c>
      <c r="B34" s="58">
        <f>AVERAGE(MP!B19,MP!F19,MP!B34,MP!F34)</f>
        <v>918.89425000000006</v>
      </c>
      <c r="C34" s="50"/>
      <c r="D34" s="51"/>
      <c r="E34" s="56">
        <f>E32*E33</f>
        <v>0.99945604290423384</v>
      </c>
    </row>
    <row r="35" spans="1:5" x14ac:dyDescent="0.25">
      <c r="A35" s="50"/>
      <c r="B35" s="50">
        <f>IF(B32&gt;33000000,B32-33000000,B32-32000000)</f>
        <v>500500</v>
      </c>
      <c r="C35" s="50"/>
      <c r="D35" s="51"/>
    </row>
    <row r="36" spans="1:5" x14ac:dyDescent="0.25">
      <c r="A36" s="50"/>
      <c r="B36" s="50">
        <f>B35-500000</f>
        <v>500</v>
      </c>
      <c r="C36" s="50"/>
      <c r="D36" s="51"/>
    </row>
    <row r="37" spans="1:5" x14ac:dyDescent="0.25">
      <c r="A37" s="50" t="s">
        <v>24</v>
      </c>
      <c r="B37" s="50">
        <f>(B33/0.9996)/$B$7</f>
        <v>47.966261407982536</v>
      </c>
      <c r="C37" s="50"/>
      <c r="D37" s="51"/>
    </row>
    <row r="38" spans="1:5" x14ac:dyDescent="0.25">
      <c r="A38" s="50" t="s">
        <v>11</v>
      </c>
      <c r="B38" s="50">
        <f>B37+$B$8*SIN( (2*B37)/$E$4 )+$B$9*SIN( (4*B37)/$E$4 )+$B$10*SIN( (6*B37)/$E$4 )</f>
        <v>48.109762618565313</v>
      </c>
      <c r="C38" s="50"/>
      <c r="D38" s="51"/>
    </row>
    <row r="39" spans="1:5" x14ac:dyDescent="0.25">
      <c r="A39" s="50" t="s">
        <v>25</v>
      </c>
      <c r="B39" s="50">
        <f>$B$5*COS(B38/$E$4)^2</f>
        <v>3.0046761488778111E-3</v>
      </c>
      <c r="C39" s="50"/>
      <c r="D39" s="51"/>
    </row>
    <row r="40" spans="1:5" x14ac:dyDescent="0.25">
      <c r="A40" s="50" t="s">
        <v>3</v>
      </c>
      <c r="B40" s="50">
        <f>$B$6/SQRT(1+B39)</f>
        <v>6390000.8847460542</v>
      </c>
      <c r="C40" s="50"/>
      <c r="D40" s="51"/>
    </row>
    <row r="41" spans="1:5" x14ac:dyDescent="0.25">
      <c r="A41" s="50" t="s">
        <v>26</v>
      </c>
      <c r="B41" s="50">
        <f>-$E$4/ (2*0.9996^2*B40^2)*TAN(B38/$E$4)*(1+B39)</f>
        <v>-7.8519460176275767E-13</v>
      </c>
      <c r="C41" s="50">
        <f>B36^2*B41</f>
        <v>-1.9629865044068941E-7</v>
      </c>
      <c r="D41" s="51"/>
    </row>
    <row r="42" spans="1:5" x14ac:dyDescent="0.25">
      <c r="A42" s="50" t="s">
        <v>27</v>
      </c>
      <c r="B42" s="50">
        <f>$E$4/(24*0.9996^4*B40^4)*TAN(B38/$E$4)*(5+3*TAN(B38/$E$4)^2+6*B39*(1-TAN(B38/$E$4)^2))</f>
        <v>1.3950367723563613E-26</v>
      </c>
      <c r="C42" s="50">
        <f>B36^4*B42</f>
        <v>8.718979827227258E-16</v>
      </c>
      <c r="D42" s="51"/>
    </row>
    <row r="43" spans="1:5" x14ac:dyDescent="0.25">
      <c r="A43" s="50" t="s">
        <v>28</v>
      </c>
      <c r="B43" s="50">
        <f>-$E$4/(720*0.9996^6*B40^6)*TAN(B38/$E$4)*(61+90*TAN(B38/$E$4)^2+45*TAN(B38/$E$4)^4)</f>
        <v>-3.1665895971126197E-40</v>
      </c>
      <c r="C43" s="50">
        <f>B36^6*B43</f>
        <v>-4.9477962454884685E-24</v>
      </c>
      <c r="D43" s="51"/>
    </row>
    <row r="44" spans="1:5" x14ac:dyDescent="0.25">
      <c r="A44" s="50" t="s">
        <v>15</v>
      </c>
      <c r="B44" s="50">
        <f>B38+C41+C42+C43</f>
        <v>48.109762422266662</v>
      </c>
      <c r="C44" s="50"/>
      <c r="D44" s="51"/>
    </row>
    <row r="45" spans="1:5" x14ac:dyDescent="0.25">
      <c r="A45" s="50" t="s">
        <v>29</v>
      </c>
      <c r="B45" s="50">
        <f>$E$4/(0.9996*B40*COS(B38/$E$4))</f>
        <v>1.3434155416550533E-5</v>
      </c>
      <c r="C45" s="50">
        <f>B36*B45</f>
        <v>6.7170777082752667E-3</v>
      </c>
      <c r="D45" s="51"/>
    </row>
    <row r="46" spans="1:5" x14ac:dyDescent="0.25">
      <c r="A46" s="50" t="s">
        <v>30</v>
      </c>
      <c r="B46" s="50">
        <f>-$E$4/(6*0.9996^3*B40^3*COS(B38/$E$4))*(1+2*TAN(B38/$E$4)^2+B39)</f>
        <v>-1.9147276937916688E-19</v>
      </c>
      <c r="C46" s="50">
        <f>B36^3*B46</f>
        <v>-2.393409617239586E-11</v>
      </c>
      <c r="D46" s="51"/>
    </row>
    <row r="47" spans="1:5" x14ac:dyDescent="0.25">
      <c r="A47" s="50" t="s">
        <v>31</v>
      </c>
      <c r="B47" s="50">
        <f>$E$4/(120*0.9996^5*B40^5*COS(B38/$E$4))*(5+28*TAN(B38/$E$4)^2+24*TAN(B38/$E$4)^4)</f>
        <v>5.1708796089521827E-33</v>
      </c>
      <c r="C47" s="50">
        <f>B36^5*B47</f>
        <v>1.6158998777975571E-19</v>
      </c>
      <c r="D47" s="51"/>
    </row>
    <row r="48" spans="1:5" x14ac:dyDescent="0.25">
      <c r="A48" s="50" t="s">
        <v>33</v>
      </c>
      <c r="B48" s="50">
        <f>IF(MP!B34&gt;3000000,12,9)</f>
        <v>9</v>
      </c>
      <c r="C48" s="50"/>
      <c r="D48" s="51"/>
    </row>
    <row r="49" spans="1:4" x14ac:dyDescent="0.25">
      <c r="A49" s="50" t="s">
        <v>32</v>
      </c>
      <c r="B49" s="50">
        <f>B48+C45+C46+C47</f>
        <v>9.0067170776843408</v>
      </c>
      <c r="C49" s="50"/>
      <c r="D49" s="51"/>
    </row>
    <row r="50" spans="1:4" x14ac:dyDescent="0.25">
      <c r="A50" s="50" t="s">
        <v>34</v>
      </c>
      <c r="B50" s="50">
        <f>$B$2*(1-$B$4)/ ( (1-$B$4*SIN(B44/$E$4)^2)^(3/2) )</f>
        <v>6370858.5178901181</v>
      </c>
      <c r="C50" s="50"/>
      <c r="D50" s="51"/>
    </row>
    <row r="51" spans="1:4" x14ac:dyDescent="0.25">
      <c r="A51" s="50" t="s">
        <v>35</v>
      </c>
      <c r="B51" s="50">
        <f>SQRT(B40*B50)</f>
        <v>6380422.5225222968</v>
      </c>
      <c r="C51" s="50"/>
      <c r="D51" s="51"/>
    </row>
    <row r="52" spans="1:4" x14ac:dyDescent="0.25">
      <c r="A52" s="50"/>
      <c r="B52" s="50"/>
      <c r="C52" s="50"/>
      <c r="D52" s="51"/>
    </row>
    <row r="53" spans="1:4" x14ac:dyDescent="0.25">
      <c r="A53" s="50"/>
      <c r="B53" s="50"/>
      <c r="C53" s="50"/>
      <c r="D53" s="51"/>
    </row>
    <row r="54" spans="1:4" x14ac:dyDescent="0.25">
      <c r="A54" s="50"/>
      <c r="B54" s="50"/>
      <c r="C54" s="50"/>
      <c r="D54" s="51"/>
    </row>
    <row r="55" spans="1:4" x14ac:dyDescent="0.25">
      <c r="D55" s="55"/>
    </row>
    <row r="56" spans="1:4" x14ac:dyDescent="0.25">
      <c r="D56" s="55"/>
    </row>
    <row r="57" spans="1:4" x14ac:dyDescent="0.25">
      <c r="D57" s="55"/>
    </row>
    <row r="58" spans="1:4" x14ac:dyDescent="0.25">
      <c r="D58" s="55"/>
    </row>
    <row r="59" spans="1:4" x14ac:dyDescent="0.25">
      <c r="D59" s="55"/>
    </row>
    <row r="60" spans="1:4" x14ac:dyDescent="0.25">
      <c r="D60" s="55"/>
    </row>
    <row r="61" spans="1:4" x14ac:dyDescent="0.25">
      <c r="D61" s="55"/>
    </row>
    <row r="62" spans="1:4" x14ac:dyDescent="0.25">
      <c r="D62" s="55"/>
    </row>
    <row r="63" spans="1:4" x14ac:dyDescent="0.25">
      <c r="D63" s="55"/>
    </row>
    <row r="64" spans="1:4" x14ac:dyDescent="0.25">
      <c r="D64" s="55"/>
    </row>
    <row r="65" spans="4:4" x14ac:dyDescent="0.25">
      <c r="D65" s="55"/>
    </row>
    <row r="66" spans="4:4" x14ac:dyDescent="0.25">
      <c r="D66" s="55"/>
    </row>
    <row r="67" spans="4:4" x14ac:dyDescent="0.25">
      <c r="D67" s="55"/>
    </row>
    <row r="68" spans="4:4" x14ac:dyDescent="0.25">
      <c r="D68" s="55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 sizeWithCells="1">
              <from>
                <xdr:col>3</xdr:col>
                <xdr:colOff>0</xdr:colOff>
                <xdr:row>31</xdr:row>
                <xdr:rowOff>0</xdr:rowOff>
              </from>
              <to>
                <xdr:col>3</xdr:col>
                <xdr:colOff>390525</xdr:colOff>
                <xdr:row>32</xdr:row>
                <xdr:rowOff>19050</xdr:rowOff>
              </to>
            </anchor>
          </objectPr>
        </oleObject>
      </mc:Choice>
      <mc:Fallback>
        <oleObject progId="Equation.DSMT4" shapeId="2049" r:id="rId4"/>
      </mc:Fallback>
    </mc:AlternateContent>
    <mc:AlternateContent xmlns:mc="http://schemas.openxmlformats.org/markup-compatibility/2006">
      <mc:Choice Requires="x14">
        <oleObject progId="Equation.DSMT4" shapeId="2050" r:id="rId6">
          <objectPr defaultSize="0" autoPict="0" r:id="rId7">
            <anchor moveWithCells="1" sizeWithCells="1">
              <from>
                <xdr:col>3</xdr:col>
                <xdr:colOff>0</xdr:colOff>
                <xdr:row>32</xdr:row>
                <xdr:rowOff>0</xdr:rowOff>
              </from>
              <to>
                <xdr:col>3</xdr:col>
                <xdr:colOff>390525</xdr:colOff>
                <xdr:row>33</xdr:row>
                <xdr:rowOff>19050</xdr:rowOff>
              </to>
            </anchor>
          </objectPr>
        </oleObject>
      </mc:Choice>
      <mc:Fallback>
        <oleObject progId="Equation.DSMT4" shapeId="2050" r:id="rId6"/>
      </mc:Fallback>
    </mc:AlternateContent>
    <mc:AlternateContent xmlns:mc="http://schemas.openxmlformats.org/markup-compatibility/2006">
      <mc:Choice Requires="x14">
        <oleObject progId="Equation.DSMT4" shapeId="2051" r:id="rId8">
          <objectPr defaultSize="0" autoPict="0" r:id="rId9">
            <anchor moveWithCells="1" siz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390525</xdr:colOff>
                <xdr:row>34</xdr:row>
                <xdr:rowOff>19050</xdr:rowOff>
              </to>
            </anchor>
          </objectPr>
        </oleObject>
      </mc:Choice>
      <mc:Fallback>
        <oleObject progId="Equation.DSMT4" shapeId="2051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MP</vt:lpstr>
      <vt:lpstr>x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2020-06-30T16:04:53Z</dcterms:modified>
</cp:coreProperties>
</file>